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PULSE Electronics\OneDrive\Desktop\Excel Toolkit\"/>
    </mc:Choice>
  </mc:AlternateContent>
  <bookViews>
    <workbookView xWindow="-120" yWindow="-120" windowWidth="20736" windowHeight="11160" firstSheet="4" activeTab="10"/>
  </bookViews>
  <sheets>
    <sheet name="stata" sheetId="8" state="hidden" r:id="rId1"/>
    <sheet name="Introduction" sheetId="22" r:id="rId2"/>
    <sheet name="Assessment on Prod.F" sheetId="29" r:id="rId3"/>
    <sheet name="Assessment from Literature Rev." sheetId="33" r:id="rId4"/>
    <sheet name="Skills Mismatch" sheetId="35" r:id="rId5"/>
    <sheet name="Simple regressions" sheetId="32" state="hidden" r:id="rId6"/>
    <sheet name="Production Function" sheetId="28" r:id="rId7"/>
    <sheet name="Assumptions for PF" sheetId="27" r:id="rId8"/>
    <sheet name="Education Data" sheetId="34" r:id="rId9"/>
    <sheet name="Data" sheetId="24" r:id="rId10"/>
    <sheet name="GRAPHS" sheetId="36" r:id="rId11"/>
    <sheet name="laborforce" sheetId="7" state="hidden" r:id="rId12"/>
    <sheet name="CPI" sheetId="3" state="hidden" r:id="rId13"/>
    <sheet name="unemployment" sheetId="4" state="hidden" r:id="rId14"/>
  </sheets>
  <externalReferences>
    <externalReference r:id="rId15"/>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1" i="29" l="1"/>
  <c r="M341" i="29" s="1"/>
  <c r="N341" i="29" s="1"/>
  <c r="J340" i="29"/>
  <c r="M340" i="29" s="1"/>
  <c r="N340" i="29" s="1"/>
  <c r="J339" i="29"/>
  <c r="M339" i="29" s="1"/>
  <c r="N339" i="29" s="1"/>
  <c r="J338" i="29"/>
  <c r="M338" i="29" s="1"/>
  <c r="N338" i="29" s="1"/>
  <c r="J337" i="29"/>
  <c r="J336" i="29"/>
  <c r="M336" i="29" s="1"/>
  <c r="N336" i="29" s="1"/>
  <c r="J335" i="29"/>
  <c r="M335" i="29" s="1"/>
  <c r="N335" i="29" s="1"/>
  <c r="J334" i="29"/>
  <c r="M334" i="29" s="1"/>
  <c r="N334" i="29" s="1"/>
  <c r="J333" i="29"/>
  <c r="J332" i="29"/>
  <c r="M332" i="29" s="1"/>
  <c r="N332" i="29" s="1"/>
  <c r="J331" i="29"/>
  <c r="M331" i="29" s="1"/>
  <c r="N331" i="29" s="1"/>
  <c r="J330" i="29"/>
  <c r="M330" i="29" s="1"/>
  <c r="N330" i="29" s="1"/>
  <c r="J329" i="29"/>
  <c r="J328" i="29"/>
  <c r="J327" i="29"/>
  <c r="J326" i="29"/>
  <c r="M333" i="29"/>
  <c r="N333" i="29" s="1"/>
  <c r="M337" i="29"/>
  <c r="N337" i="29" s="1"/>
  <c r="J103" i="28"/>
  <c r="J104" i="28"/>
  <c r="J105" i="28"/>
  <c r="J102" i="28"/>
  <c r="J99" i="28"/>
  <c r="J100" i="28"/>
  <c r="J101" i="28"/>
  <c r="J98" i="28"/>
  <c r="J95" i="28"/>
  <c r="J96" i="28"/>
  <c r="J97" i="28" s="1"/>
  <c r="J94" i="28"/>
  <c r="E105" i="28"/>
  <c r="E104" i="28"/>
  <c r="E103" i="28"/>
  <c r="E101" i="28"/>
  <c r="E100" i="28"/>
  <c r="E99" i="28"/>
  <c r="E96" i="28"/>
  <c r="E97" i="28"/>
  <c r="D103" i="28"/>
  <c r="D104" i="28"/>
  <c r="D105" i="28"/>
  <c r="D99" i="28"/>
  <c r="D100" i="28"/>
  <c r="D101" i="28"/>
  <c r="D102" i="28"/>
  <c r="D98" i="28"/>
  <c r="D95" i="28"/>
  <c r="D96" i="28"/>
  <c r="D97" i="28"/>
  <c r="D94" i="28"/>
  <c r="E95" i="28"/>
  <c r="C104" i="28"/>
  <c r="C105" i="28"/>
  <c r="C103" i="28"/>
  <c r="B103" i="28"/>
  <c r="C100" i="28"/>
  <c r="C101" i="28"/>
  <c r="B99" i="28"/>
  <c r="B100" i="28"/>
  <c r="B101" i="28"/>
  <c r="B98" i="28"/>
  <c r="C99" i="28"/>
  <c r="C96" i="28"/>
  <c r="C97" i="28"/>
  <c r="C95" i="28"/>
  <c r="B104" i="28"/>
  <c r="B105" i="28"/>
  <c r="B102" i="28"/>
  <c r="B95" i="28"/>
  <c r="B96" i="28"/>
  <c r="B97" i="28"/>
  <c r="B94" i="28"/>
  <c r="S238" i="29" a="1"/>
  <c r="P238" i="29" a="1"/>
  <c r="S129" i="29" a="1"/>
  <c r="P129" i="29" a="1"/>
  <c r="O15" i="29" a="1"/>
  <c r="S15" i="29" a="1"/>
  <c r="P15" i="29" a="1"/>
  <c r="S2" i="28" a="1"/>
  <c r="P2" i="28" a="1"/>
  <c r="O2" i="28" a="1"/>
  <c r="P117" i="29" l="1"/>
  <c r="P113" i="29"/>
  <c r="P109" i="29"/>
  <c r="P105" i="29"/>
  <c r="P101" i="29"/>
  <c r="P97" i="29"/>
  <c r="P93" i="29"/>
  <c r="P89" i="29"/>
  <c r="P85" i="29"/>
  <c r="P81" i="29"/>
  <c r="P77" i="29"/>
  <c r="P73" i="29"/>
  <c r="P69" i="29"/>
  <c r="P65" i="29"/>
  <c r="P61" i="29"/>
  <c r="P57" i="29"/>
  <c r="P53" i="29"/>
  <c r="P49" i="29"/>
  <c r="P45" i="29"/>
  <c r="P41" i="29"/>
  <c r="P37" i="29"/>
  <c r="P33" i="29"/>
  <c r="P29" i="29"/>
  <c r="P25" i="29"/>
  <c r="P21" i="29"/>
  <c r="P17" i="29"/>
  <c r="P114" i="29"/>
  <c r="P102" i="29"/>
  <c r="P90" i="29"/>
  <c r="P78" i="29"/>
  <c r="P66" i="29"/>
  <c r="P54" i="29"/>
  <c r="P46" i="29"/>
  <c r="P34" i="29"/>
  <c r="P22" i="29"/>
  <c r="P116" i="29"/>
  <c r="P112" i="29"/>
  <c r="P108" i="29"/>
  <c r="P104" i="29"/>
  <c r="P100" i="29"/>
  <c r="P96" i="29"/>
  <c r="P92" i="29"/>
  <c r="P88" i="29"/>
  <c r="P84" i="29"/>
  <c r="P80" i="29"/>
  <c r="P76" i="29"/>
  <c r="P72" i="29"/>
  <c r="P68" i="29"/>
  <c r="P64" i="29"/>
  <c r="P60" i="29"/>
  <c r="P56" i="29"/>
  <c r="P52" i="29"/>
  <c r="P48" i="29"/>
  <c r="P44" i="29"/>
  <c r="P40" i="29"/>
  <c r="P36" i="29"/>
  <c r="P32" i="29"/>
  <c r="P28" i="29"/>
  <c r="P24" i="29"/>
  <c r="P20" i="29"/>
  <c r="P16" i="29"/>
  <c r="P106" i="29"/>
  <c r="P94" i="29"/>
  <c r="P86" i="29"/>
  <c r="P70" i="29"/>
  <c r="P58" i="29"/>
  <c r="P42" i="29"/>
  <c r="P26" i="29"/>
  <c r="P18" i="29"/>
  <c r="P115" i="29"/>
  <c r="P111" i="29"/>
  <c r="P107" i="29"/>
  <c r="P103" i="29"/>
  <c r="P99" i="29"/>
  <c r="P95" i="29"/>
  <c r="P91" i="29"/>
  <c r="P87" i="29"/>
  <c r="P83" i="29"/>
  <c r="P79" i="29"/>
  <c r="P75" i="29"/>
  <c r="P71" i="29"/>
  <c r="P67" i="29"/>
  <c r="P63" i="29"/>
  <c r="P59" i="29"/>
  <c r="P55" i="29"/>
  <c r="P51" i="29"/>
  <c r="P47" i="29"/>
  <c r="P43" i="29"/>
  <c r="P39" i="29"/>
  <c r="P35" i="29"/>
  <c r="P31" i="29"/>
  <c r="P27" i="29"/>
  <c r="P23" i="29"/>
  <c r="P19" i="29"/>
  <c r="P15" i="29"/>
  <c r="P118" i="29"/>
  <c r="P110" i="29"/>
  <c r="P98" i="29"/>
  <c r="P82" i="29"/>
  <c r="P74" i="29"/>
  <c r="P62" i="29"/>
  <c r="P50" i="29"/>
  <c r="P38" i="29"/>
  <c r="P30" i="29"/>
  <c r="S116" i="29"/>
  <c r="S112" i="29"/>
  <c r="S108" i="29"/>
  <c r="S104" i="29"/>
  <c r="S100" i="29"/>
  <c r="S96" i="29"/>
  <c r="S92" i="29"/>
  <c r="S88" i="29"/>
  <c r="S84" i="29"/>
  <c r="S80" i="29"/>
  <c r="S76" i="29"/>
  <c r="S72" i="29"/>
  <c r="S68" i="29"/>
  <c r="S64" i="29"/>
  <c r="S60" i="29"/>
  <c r="S56" i="29"/>
  <c r="S52" i="29"/>
  <c r="S48" i="29"/>
  <c r="S44" i="29"/>
  <c r="S40" i="29"/>
  <c r="S36" i="29"/>
  <c r="S32" i="29"/>
  <c r="S28" i="29"/>
  <c r="S24" i="29"/>
  <c r="S20" i="29"/>
  <c r="S16" i="29"/>
  <c r="S113" i="29"/>
  <c r="S101" i="29"/>
  <c r="S89" i="29"/>
  <c r="S77" i="29"/>
  <c r="S65" i="29"/>
  <c r="S53" i="29"/>
  <c r="S41" i="29"/>
  <c r="S29" i="29"/>
  <c r="S21" i="29"/>
  <c r="S115" i="29"/>
  <c r="S111" i="29"/>
  <c r="S107" i="29"/>
  <c r="S103" i="29"/>
  <c r="S99" i="29"/>
  <c r="S95" i="29"/>
  <c r="S91" i="29"/>
  <c r="S87" i="29"/>
  <c r="S83" i="29"/>
  <c r="S79" i="29"/>
  <c r="S75" i="29"/>
  <c r="S71" i="29"/>
  <c r="S67" i="29"/>
  <c r="S63" i="29"/>
  <c r="S59" i="29"/>
  <c r="S55" i="29"/>
  <c r="S51" i="29"/>
  <c r="S47" i="29"/>
  <c r="S43" i="29"/>
  <c r="S39" i="29"/>
  <c r="S35" i="29"/>
  <c r="S31" i="29"/>
  <c r="S27" i="29"/>
  <c r="S23" i="29"/>
  <c r="S19" i="29"/>
  <c r="S15" i="29"/>
  <c r="S109" i="29"/>
  <c r="S97" i="29"/>
  <c r="S85" i="29"/>
  <c r="S69" i="29"/>
  <c r="S57" i="29"/>
  <c r="S49" i="29"/>
  <c r="S33" i="29"/>
  <c r="S17" i="29"/>
  <c r="S118" i="29"/>
  <c r="S114" i="29"/>
  <c r="S110" i="29"/>
  <c r="V110" i="29" s="1"/>
  <c r="S106" i="29"/>
  <c r="S102" i="29"/>
  <c r="S98" i="29"/>
  <c r="S94" i="29"/>
  <c r="S90" i="29"/>
  <c r="S86" i="29"/>
  <c r="S82" i="29"/>
  <c r="S78" i="29"/>
  <c r="S74" i="29"/>
  <c r="S70" i="29"/>
  <c r="S66" i="29"/>
  <c r="S62" i="29"/>
  <c r="S58" i="29"/>
  <c r="S54" i="29"/>
  <c r="S50" i="29"/>
  <c r="S46" i="29"/>
  <c r="S42" i="29"/>
  <c r="S38" i="29"/>
  <c r="S34" i="29"/>
  <c r="S30" i="29"/>
  <c r="S26" i="29"/>
  <c r="S22" i="29"/>
  <c r="S18" i="29"/>
  <c r="S117" i="29"/>
  <c r="V117" i="29" s="1"/>
  <c r="S105" i="29"/>
  <c r="S93" i="29"/>
  <c r="S81" i="29"/>
  <c r="S73" i="29"/>
  <c r="S61" i="29"/>
  <c r="S45" i="29"/>
  <c r="S37" i="29"/>
  <c r="S25" i="29"/>
  <c r="O118" i="29"/>
  <c r="O114" i="29"/>
  <c r="O110" i="29"/>
  <c r="O106" i="29"/>
  <c r="O102" i="29"/>
  <c r="O98" i="29"/>
  <c r="O94" i="29"/>
  <c r="O90" i="29"/>
  <c r="O86" i="29"/>
  <c r="O82" i="29"/>
  <c r="O78" i="29"/>
  <c r="O74" i="29"/>
  <c r="O70" i="29"/>
  <c r="O66" i="29"/>
  <c r="O62" i="29"/>
  <c r="O58" i="29"/>
  <c r="O54" i="29"/>
  <c r="O50" i="29"/>
  <c r="O46" i="29"/>
  <c r="O42" i="29"/>
  <c r="O38" i="29"/>
  <c r="O34" i="29"/>
  <c r="O30" i="29"/>
  <c r="O26" i="29"/>
  <c r="O22" i="29"/>
  <c r="O18" i="29"/>
  <c r="O25" i="29"/>
  <c r="O17" i="29"/>
  <c r="O32" i="29"/>
  <c r="O20" i="29"/>
  <c r="O115" i="29"/>
  <c r="O107" i="29"/>
  <c r="O99" i="29"/>
  <c r="O91" i="29"/>
  <c r="O83" i="29"/>
  <c r="O75" i="29"/>
  <c r="O63" i="29"/>
  <c r="O55" i="29"/>
  <c r="O43" i="29"/>
  <c r="O31" i="29"/>
  <c r="O19" i="29"/>
  <c r="O117" i="29"/>
  <c r="O113" i="29"/>
  <c r="O109" i="29"/>
  <c r="O105" i="29"/>
  <c r="O101" i="29"/>
  <c r="O97" i="29"/>
  <c r="O93" i="29"/>
  <c r="O89" i="29"/>
  <c r="O85" i="29"/>
  <c r="O81" i="29"/>
  <c r="O77" i="29"/>
  <c r="O73" i="29"/>
  <c r="O69" i="29"/>
  <c r="O65" i="29"/>
  <c r="O61" i="29"/>
  <c r="O57" i="29"/>
  <c r="O53" i="29"/>
  <c r="O49" i="29"/>
  <c r="O45" i="29"/>
  <c r="O41" i="29"/>
  <c r="O37" i="29"/>
  <c r="O33" i="29"/>
  <c r="O29" i="29"/>
  <c r="O21" i="29"/>
  <c r="O24" i="29"/>
  <c r="O111" i="29"/>
  <c r="O103" i="29"/>
  <c r="O95" i="29"/>
  <c r="O87" i="29"/>
  <c r="O79" i="29"/>
  <c r="O67" i="29"/>
  <c r="O59" i="29"/>
  <c r="O51" i="29"/>
  <c r="O39" i="29"/>
  <c r="O27" i="29"/>
  <c r="O15" i="29"/>
  <c r="O116" i="29"/>
  <c r="O112" i="29"/>
  <c r="O108" i="29"/>
  <c r="O104" i="29"/>
  <c r="O100" i="29"/>
  <c r="O96" i="29"/>
  <c r="O92" i="29"/>
  <c r="O88" i="29"/>
  <c r="O84" i="29"/>
  <c r="O80" i="29"/>
  <c r="O76" i="29"/>
  <c r="O72" i="29"/>
  <c r="O68" i="29"/>
  <c r="O64" i="29"/>
  <c r="O60" i="29"/>
  <c r="O56" i="29"/>
  <c r="O52" i="29"/>
  <c r="O48" i="29"/>
  <c r="O44" i="29"/>
  <c r="O40" i="29"/>
  <c r="O36" i="29"/>
  <c r="O28" i="29"/>
  <c r="O16" i="29"/>
  <c r="O71" i="29"/>
  <c r="O47" i="29"/>
  <c r="O35" i="29"/>
  <c r="O23" i="29"/>
  <c r="P229" i="29"/>
  <c r="P225" i="29"/>
  <c r="P221" i="29"/>
  <c r="P217" i="29"/>
  <c r="P213" i="29"/>
  <c r="P209" i="29"/>
  <c r="P205" i="29"/>
  <c r="P201" i="29"/>
  <c r="P197" i="29"/>
  <c r="P193" i="29"/>
  <c r="P189" i="29"/>
  <c r="P185" i="29"/>
  <c r="P181" i="29"/>
  <c r="P177" i="29"/>
  <c r="P173" i="29"/>
  <c r="P169" i="29"/>
  <c r="P165" i="29"/>
  <c r="P161" i="29"/>
  <c r="P157" i="29"/>
  <c r="P153" i="29"/>
  <c r="P149" i="29"/>
  <c r="P145" i="29"/>
  <c r="P141" i="29"/>
  <c r="P137" i="29"/>
  <c r="P133" i="29"/>
  <c r="P129" i="29"/>
  <c r="P232" i="29"/>
  <c r="P228" i="29"/>
  <c r="P224" i="29"/>
  <c r="P220" i="29"/>
  <c r="P216" i="29"/>
  <c r="P212" i="29"/>
  <c r="P208" i="29"/>
  <c r="P204" i="29"/>
  <c r="P200" i="29"/>
  <c r="P196" i="29"/>
  <c r="P192" i="29"/>
  <c r="P188" i="29"/>
  <c r="P184" i="29"/>
  <c r="P180" i="29"/>
  <c r="P176" i="29"/>
  <c r="P172" i="29"/>
  <c r="P168" i="29"/>
  <c r="P164" i="29"/>
  <c r="P160" i="29"/>
  <c r="P156" i="29"/>
  <c r="P152" i="29"/>
  <c r="P148" i="29"/>
  <c r="P144" i="29"/>
  <c r="P140" i="29"/>
  <c r="P136" i="29"/>
  <c r="P132" i="29"/>
  <c r="P231" i="29"/>
  <c r="P227" i="29"/>
  <c r="P223" i="29"/>
  <c r="P219" i="29"/>
  <c r="P215" i="29"/>
  <c r="P211" i="29"/>
  <c r="P207" i="29"/>
  <c r="P203" i="29"/>
  <c r="P199" i="29"/>
  <c r="P195" i="29"/>
  <c r="P191" i="29"/>
  <c r="P187" i="29"/>
  <c r="P183" i="29"/>
  <c r="P179" i="29"/>
  <c r="P175" i="29"/>
  <c r="P171" i="29"/>
  <c r="P167" i="29"/>
  <c r="P163" i="29"/>
  <c r="P159" i="29"/>
  <c r="P155" i="29"/>
  <c r="P151" i="29"/>
  <c r="P147" i="29"/>
  <c r="P143" i="29"/>
  <c r="P139" i="29"/>
  <c r="P135" i="29"/>
  <c r="P131" i="29"/>
  <c r="P218" i="29"/>
  <c r="P202" i="29"/>
  <c r="P186" i="29"/>
  <c r="P170" i="29"/>
  <c r="P154" i="29"/>
  <c r="P138" i="29"/>
  <c r="P174" i="29"/>
  <c r="P230" i="29"/>
  <c r="P214" i="29"/>
  <c r="P198" i="29"/>
  <c r="P182" i="29"/>
  <c r="P166" i="29"/>
  <c r="P150" i="29"/>
  <c r="P134" i="29"/>
  <c r="P222" i="29"/>
  <c r="P190" i="29"/>
  <c r="P142" i="29"/>
  <c r="P226" i="29"/>
  <c r="P210" i="29"/>
  <c r="P194" i="29"/>
  <c r="P178" i="29"/>
  <c r="P162" i="29"/>
  <c r="P146" i="29"/>
  <c r="P130" i="29"/>
  <c r="P206" i="29"/>
  <c r="P158" i="29"/>
  <c r="S231" i="29"/>
  <c r="V231" i="29" s="1"/>
  <c r="S227" i="29"/>
  <c r="V227" i="29" s="1"/>
  <c r="S223" i="29"/>
  <c r="V223" i="29" s="1"/>
  <c r="S219" i="29"/>
  <c r="S215" i="29"/>
  <c r="S211" i="29"/>
  <c r="S230" i="29"/>
  <c r="V230" i="29" s="1"/>
  <c r="S226" i="29"/>
  <c r="V226" i="29" s="1"/>
  <c r="S222" i="29"/>
  <c r="V222" i="29" s="1"/>
  <c r="S218" i="29"/>
  <c r="S214" i="29"/>
  <c r="S210" i="29"/>
  <c r="S229" i="29"/>
  <c r="V229" i="29" s="1"/>
  <c r="S225" i="29"/>
  <c r="V225" i="29" s="1"/>
  <c r="S221" i="29"/>
  <c r="V221" i="29" s="1"/>
  <c r="S217" i="29"/>
  <c r="S213" i="29"/>
  <c r="S209" i="29"/>
  <c r="S224" i="29"/>
  <c r="V224" i="29" s="1"/>
  <c r="S208" i="29"/>
  <c r="S204" i="29"/>
  <c r="S200" i="29"/>
  <c r="S196" i="29"/>
  <c r="S192" i="29"/>
  <c r="S188" i="29"/>
  <c r="S184" i="29"/>
  <c r="S180" i="29"/>
  <c r="S176" i="29"/>
  <c r="S172" i="29"/>
  <c r="S168" i="29"/>
  <c r="S164" i="29"/>
  <c r="S160" i="29"/>
  <c r="S156" i="29"/>
  <c r="S152" i="29"/>
  <c r="S148" i="29"/>
  <c r="S144" i="29"/>
  <c r="S140" i="29"/>
  <c r="S136" i="29"/>
  <c r="S132" i="29"/>
  <c r="S220" i="29"/>
  <c r="S207" i="29"/>
  <c r="S203" i="29"/>
  <c r="S199" i="29"/>
  <c r="S195" i="29"/>
  <c r="S191" i="29"/>
  <c r="S187" i="29"/>
  <c r="S183" i="29"/>
  <c r="S179" i="29"/>
  <c r="S175" i="29"/>
  <c r="S171" i="29"/>
  <c r="S167" i="29"/>
  <c r="S163" i="29"/>
  <c r="S159" i="29"/>
  <c r="S155" i="29"/>
  <c r="S151" i="29"/>
  <c r="S147" i="29"/>
  <c r="S143" i="29"/>
  <c r="S139" i="29"/>
  <c r="S135" i="29"/>
  <c r="S131" i="29"/>
  <c r="S232" i="29"/>
  <c r="V232" i="29" s="1"/>
  <c r="S216" i="29"/>
  <c r="S206" i="29"/>
  <c r="S202" i="29"/>
  <c r="S198" i="29"/>
  <c r="S194" i="29"/>
  <c r="S190" i="29"/>
  <c r="S186" i="29"/>
  <c r="S182" i="29"/>
  <c r="S178" i="29"/>
  <c r="S174" i="29"/>
  <c r="S170" i="29"/>
  <c r="S166" i="29"/>
  <c r="S162" i="29"/>
  <c r="S158" i="29"/>
  <c r="S154" i="29"/>
  <c r="S150" i="29"/>
  <c r="S146" i="29"/>
  <c r="S142" i="29"/>
  <c r="S138" i="29"/>
  <c r="S134" i="29"/>
  <c r="S130" i="29"/>
  <c r="S212" i="29"/>
  <c r="S193" i="29"/>
  <c r="S177" i="29"/>
  <c r="S161" i="29"/>
  <c r="S145" i="29"/>
  <c r="S129" i="29"/>
  <c r="S205" i="29"/>
  <c r="S189" i="29"/>
  <c r="S173" i="29"/>
  <c r="S157" i="29"/>
  <c r="S141" i="29"/>
  <c r="S228" i="29"/>
  <c r="V228" i="29" s="1"/>
  <c r="S181" i="29"/>
  <c r="S149" i="29"/>
  <c r="S201" i="29"/>
  <c r="S185" i="29"/>
  <c r="S169" i="29"/>
  <c r="S153" i="29"/>
  <c r="S137" i="29"/>
  <c r="S197" i="29"/>
  <c r="S165" i="29"/>
  <c r="S133" i="29"/>
  <c r="P338" i="29"/>
  <c r="P334" i="29"/>
  <c r="P330" i="29"/>
  <c r="P326" i="29"/>
  <c r="P322" i="29"/>
  <c r="P318" i="29"/>
  <c r="P314" i="29"/>
  <c r="P310" i="29"/>
  <c r="P306" i="29"/>
  <c r="P302" i="29"/>
  <c r="P298" i="29"/>
  <c r="P294" i="29"/>
  <c r="P290" i="29"/>
  <c r="P286" i="29"/>
  <c r="P282" i="29"/>
  <c r="P278" i="29"/>
  <c r="P274" i="29"/>
  <c r="P270" i="29"/>
  <c r="P266" i="29"/>
  <c r="P262" i="29"/>
  <c r="P258" i="29"/>
  <c r="P254" i="29"/>
  <c r="P250" i="29"/>
  <c r="P246" i="29"/>
  <c r="P242" i="29"/>
  <c r="P238" i="29"/>
  <c r="P341" i="29"/>
  <c r="P337" i="29"/>
  <c r="P333" i="29"/>
  <c r="P329" i="29"/>
  <c r="P325" i="29"/>
  <c r="P321" i="29"/>
  <c r="P317" i="29"/>
  <c r="P313" i="29"/>
  <c r="P309" i="29"/>
  <c r="P305" i="29"/>
  <c r="P301" i="29"/>
  <c r="P297" i="29"/>
  <c r="P293" i="29"/>
  <c r="P289" i="29"/>
  <c r="P285" i="29"/>
  <c r="P281" i="29"/>
  <c r="P277" i="29"/>
  <c r="P273" i="29"/>
  <c r="P269" i="29"/>
  <c r="P265" i="29"/>
  <c r="P261" i="29"/>
  <c r="P257" i="29"/>
  <c r="P253" i="29"/>
  <c r="P249" i="29"/>
  <c r="P245" i="29"/>
  <c r="P241" i="29"/>
  <c r="P340" i="29"/>
  <c r="P336" i="29"/>
  <c r="P332" i="29"/>
  <c r="P328" i="29"/>
  <c r="P324" i="29"/>
  <c r="P320" i="29"/>
  <c r="P316" i="29"/>
  <c r="P312" i="29"/>
  <c r="P308" i="29"/>
  <c r="P304" i="29"/>
  <c r="P300" i="29"/>
  <c r="P296" i="29"/>
  <c r="P292" i="29"/>
  <c r="P288" i="29"/>
  <c r="P284" i="29"/>
  <c r="P280" i="29"/>
  <c r="P276" i="29"/>
  <c r="P272" i="29"/>
  <c r="P268" i="29"/>
  <c r="P264" i="29"/>
  <c r="P260" i="29"/>
  <c r="P256" i="29"/>
  <c r="P252" i="29"/>
  <c r="P248" i="29"/>
  <c r="P244" i="29"/>
  <c r="P240" i="29"/>
  <c r="P331" i="29"/>
  <c r="P315" i="29"/>
  <c r="P299" i="29"/>
  <c r="P283" i="29"/>
  <c r="P267" i="29"/>
  <c r="P251" i="29"/>
  <c r="P327" i="29"/>
  <c r="P311" i="29"/>
  <c r="P295" i="29"/>
  <c r="P279" i="29"/>
  <c r="P263" i="29"/>
  <c r="P247" i="29"/>
  <c r="P339" i="29"/>
  <c r="P323" i="29"/>
  <c r="P307" i="29"/>
  <c r="P291" i="29"/>
  <c r="P275" i="29"/>
  <c r="P259" i="29"/>
  <c r="P243" i="29"/>
  <c r="P303" i="29"/>
  <c r="P239" i="29"/>
  <c r="P255" i="29"/>
  <c r="P287" i="29"/>
  <c r="P335" i="29"/>
  <c r="P271" i="29"/>
  <c r="P319" i="29"/>
  <c r="S341" i="29"/>
  <c r="V341" i="29" s="1"/>
  <c r="S337" i="29"/>
  <c r="V337" i="29" s="1"/>
  <c r="S333" i="29"/>
  <c r="V333" i="29" s="1"/>
  <c r="S329" i="29"/>
  <c r="S325" i="29"/>
  <c r="S321" i="29"/>
  <c r="S317" i="29"/>
  <c r="S313" i="29"/>
  <c r="S309" i="29"/>
  <c r="S305" i="29"/>
  <c r="S301" i="29"/>
  <c r="S297" i="29"/>
  <c r="S293" i="29"/>
  <c r="S289" i="29"/>
  <c r="S285" i="29"/>
  <c r="S281" i="29"/>
  <c r="S277" i="29"/>
  <c r="S273" i="29"/>
  <c r="S269" i="29"/>
  <c r="S265" i="29"/>
  <c r="S261" i="29"/>
  <c r="S257" i="29"/>
  <c r="S253" i="29"/>
  <c r="S249" i="29"/>
  <c r="S245" i="29"/>
  <c r="S241" i="29"/>
  <c r="S340" i="29"/>
  <c r="V340" i="29" s="1"/>
  <c r="S336" i="29"/>
  <c r="V336" i="29" s="1"/>
  <c r="S332" i="29"/>
  <c r="V332" i="29" s="1"/>
  <c r="S328" i="29"/>
  <c r="S324" i="29"/>
  <c r="S320" i="29"/>
  <c r="S316" i="29"/>
  <c r="S312" i="29"/>
  <c r="S308" i="29"/>
  <c r="S304" i="29"/>
  <c r="S300" i="29"/>
  <c r="S296" i="29"/>
  <c r="S292" i="29"/>
  <c r="S288" i="29"/>
  <c r="S284" i="29"/>
  <c r="S280" i="29"/>
  <c r="S276" i="29"/>
  <c r="S272" i="29"/>
  <c r="S268" i="29"/>
  <c r="S264" i="29"/>
  <c r="S260" i="29"/>
  <c r="S256" i="29"/>
  <c r="S252" i="29"/>
  <c r="S248" i="29"/>
  <c r="S244" i="29"/>
  <c r="S240" i="29"/>
  <c r="S339" i="29"/>
  <c r="V339" i="29" s="1"/>
  <c r="S335" i="29"/>
  <c r="V335" i="29" s="1"/>
  <c r="S331" i="29"/>
  <c r="V331" i="29" s="1"/>
  <c r="S327" i="29"/>
  <c r="S323" i="29"/>
  <c r="S319" i="29"/>
  <c r="S315" i="29"/>
  <c r="S311" i="29"/>
  <c r="S307" i="29"/>
  <c r="S303" i="29"/>
  <c r="S299" i="29"/>
  <c r="S295" i="29"/>
  <c r="S291" i="29"/>
  <c r="S287" i="29"/>
  <c r="S283" i="29"/>
  <c r="S279" i="29"/>
  <c r="S275" i="29"/>
  <c r="S271" i="29"/>
  <c r="S267" i="29"/>
  <c r="S263" i="29"/>
  <c r="S259" i="29"/>
  <c r="S255" i="29"/>
  <c r="S251" i="29"/>
  <c r="S247" i="29"/>
  <c r="S243" i="29"/>
  <c r="S239" i="29"/>
  <c r="S338" i="29"/>
  <c r="V338" i="29" s="1"/>
  <c r="S322" i="29"/>
  <c r="S306" i="29"/>
  <c r="S290" i="29"/>
  <c r="S274" i="29"/>
  <c r="S258" i="29"/>
  <c r="S242" i="29"/>
  <c r="S334" i="29"/>
  <c r="V334" i="29" s="1"/>
  <c r="S318" i="29"/>
  <c r="S302" i="29"/>
  <c r="S286" i="29"/>
  <c r="S270" i="29"/>
  <c r="S254" i="29"/>
  <c r="S238" i="29"/>
  <c r="S330" i="29"/>
  <c r="V330" i="29" s="1"/>
  <c r="S314" i="29"/>
  <c r="S298" i="29"/>
  <c r="S282" i="29"/>
  <c r="S266" i="29"/>
  <c r="S250" i="29"/>
  <c r="S326" i="29"/>
  <c r="S262" i="29"/>
  <c r="S310" i="29"/>
  <c r="S246" i="29"/>
  <c r="S278" i="29"/>
  <c r="S294" i="29"/>
  <c r="O103" i="28"/>
  <c r="O99" i="28"/>
  <c r="O95" i="28"/>
  <c r="O91" i="28"/>
  <c r="O87" i="28"/>
  <c r="O83" i="28"/>
  <c r="O79" i="28"/>
  <c r="O75" i="28"/>
  <c r="O71" i="28"/>
  <c r="O67" i="28"/>
  <c r="O63" i="28"/>
  <c r="O59" i="28"/>
  <c r="O55" i="28"/>
  <c r="O51" i="28"/>
  <c r="O47" i="28"/>
  <c r="O43" i="28"/>
  <c r="O39" i="28"/>
  <c r="O35" i="28"/>
  <c r="O31" i="28"/>
  <c r="O27" i="28"/>
  <c r="O23" i="28"/>
  <c r="O19" i="28"/>
  <c r="O15" i="28"/>
  <c r="O11" i="28"/>
  <c r="O102" i="28"/>
  <c r="O98" i="28"/>
  <c r="O94" i="28"/>
  <c r="O90" i="28"/>
  <c r="O86" i="28"/>
  <c r="O82" i="28"/>
  <c r="O78" i="28"/>
  <c r="O74" i="28"/>
  <c r="O70" i="28"/>
  <c r="O66" i="28"/>
  <c r="O62" i="28"/>
  <c r="O58" i="28"/>
  <c r="O54" i="28"/>
  <c r="O50" i="28"/>
  <c r="O46" i="28"/>
  <c r="O42" i="28"/>
  <c r="O38" i="28"/>
  <c r="O34" i="28"/>
  <c r="O30" i="28"/>
  <c r="O26" i="28"/>
  <c r="O22" i="28"/>
  <c r="O18" i="28"/>
  <c r="O14" i="28"/>
  <c r="O10" i="28"/>
  <c r="O6" i="28"/>
  <c r="O2" i="28"/>
  <c r="O101" i="28"/>
  <c r="O93" i="28"/>
  <c r="O85" i="28"/>
  <c r="O77" i="28"/>
  <c r="O69" i="28"/>
  <c r="O61" i="28"/>
  <c r="O53" i="28"/>
  <c r="O45" i="28"/>
  <c r="O37" i="28"/>
  <c r="O29" i="28"/>
  <c r="O21" i="28"/>
  <c r="O13" i="28"/>
  <c r="O7" i="28"/>
  <c r="O104" i="28"/>
  <c r="O80" i="28"/>
  <c r="O56" i="28"/>
  <c r="O32" i="28"/>
  <c r="O16" i="28"/>
  <c r="O100" i="28"/>
  <c r="O92" i="28"/>
  <c r="O84" i="28"/>
  <c r="O76" i="28"/>
  <c r="O68" i="28"/>
  <c r="O60" i="28"/>
  <c r="O52" i="28"/>
  <c r="O44" i="28"/>
  <c r="O36" i="28"/>
  <c r="O28" i="28"/>
  <c r="O20" i="28"/>
  <c r="O12" i="28"/>
  <c r="O5" i="28"/>
  <c r="O57" i="28"/>
  <c r="O41" i="28"/>
  <c r="O25" i="28"/>
  <c r="O17" i="28"/>
  <c r="O4" i="28"/>
  <c r="O88" i="28"/>
  <c r="O64" i="28"/>
  <c r="O48" i="28"/>
  <c r="O24" i="28"/>
  <c r="O3" i="28"/>
  <c r="O105" i="28"/>
  <c r="O97" i="28"/>
  <c r="O89" i="28"/>
  <c r="O81" i="28"/>
  <c r="O73" i="28"/>
  <c r="O65" i="28"/>
  <c r="O49" i="28"/>
  <c r="O33" i="28"/>
  <c r="O9" i="28"/>
  <c r="O96" i="28"/>
  <c r="O72" i="28"/>
  <c r="O40" i="28"/>
  <c r="O8" i="28"/>
  <c r="P102" i="28"/>
  <c r="P98" i="28"/>
  <c r="P94" i="28"/>
  <c r="P90" i="28"/>
  <c r="P86" i="28"/>
  <c r="P82" i="28"/>
  <c r="P78" i="28"/>
  <c r="P74" i="28"/>
  <c r="P70" i="28"/>
  <c r="P66" i="28"/>
  <c r="P62" i="28"/>
  <c r="P58" i="28"/>
  <c r="P54" i="28"/>
  <c r="P50" i="28"/>
  <c r="P46" i="28"/>
  <c r="P42" i="28"/>
  <c r="P38" i="28"/>
  <c r="P34" i="28"/>
  <c r="P30" i="28"/>
  <c r="P26" i="28"/>
  <c r="P22" i="28"/>
  <c r="P18" i="28"/>
  <c r="P14" i="28"/>
  <c r="P10" i="28"/>
  <c r="P6" i="28"/>
  <c r="P2" i="28"/>
  <c r="P105" i="28"/>
  <c r="P101" i="28"/>
  <c r="P97" i="28"/>
  <c r="P93" i="28"/>
  <c r="P89" i="28"/>
  <c r="P85" i="28"/>
  <c r="P81" i="28"/>
  <c r="P77" i="28"/>
  <c r="P73" i="28"/>
  <c r="P69" i="28"/>
  <c r="P65" i="28"/>
  <c r="P61" i="28"/>
  <c r="P57" i="28"/>
  <c r="P53" i="28"/>
  <c r="P49" i="28"/>
  <c r="P45" i="28"/>
  <c r="P41" i="28"/>
  <c r="P37" i="28"/>
  <c r="P33" i="28"/>
  <c r="P29" i="28"/>
  <c r="P25" i="28"/>
  <c r="P21" i="28"/>
  <c r="P17" i="28"/>
  <c r="P13" i="28"/>
  <c r="P9" i="28"/>
  <c r="P5" i="28"/>
  <c r="P100" i="28"/>
  <c r="P92" i="28"/>
  <c r="P84" i="28"/>
  <c r="P76" i="28"/>
  <c r="P68" i="28"/>
  <c r="P60" i="28"/>
  <c r="P52" i="28"/>
  <c r="P44" i="28"/>
  <c r="P36" i="28"/>
  <c r="P28" i="28"/>
  <c r="P20" i="28"/>
  <c r="P12" i="28"/>
  <c r="P4" i="28"/>
  <c r="P71" i="28"/>
  <c r="P23" i="28"/>
  <c r="P99" i="28"/>
  <c r="P91" i="28"/>
  <c r="P83" i="28"/>
  <c r="P75" i="28"/>
  <c r="P67" i="28"/>
  <c r="P59" i="28"/>
  <c r="P51" i="28"/>
  <c r="P43" i="28"/>
  <c r="P35" i="28"/>
  <c r="P27" i="28"/>
  <c r="P19" i="28"/>
  <c r="P11" i="28"/>
  <c r="P3" i="28"/>
  <c r="P95" i="28"/>
  <c r="P79" i="28"/>
  <c r="P63" i="28"/>
  <c r="P47" i="28"/>
  <c r="P31" i="28"/>
  <c r="P7" i="28"/>
  <c r="P104" i="28"/>
  <c r="P96" i="28"/>
  <c r="P88" i="28"/>
  <c r="P80" i="28"/>
  <c r="P72" i="28"/>
  <c r="P64" i="28"/>
  <c r="P56" i="28"/>
  <c r="P48" i="28"/>
  <c r="P40" i="28"/>
  <c r="P32" i="28"/>
  <c r="P24" i="28"/>
  <c r="P16" i="28"/>
  <c r="P8" i="28"/>
  <c r="P103" i="28"/>
  <c r="P87" i="28"/>
  <c r="P55" i="28"/>
  <c r="P39" i="28"/>
  <c r="P15" i="28"/>
  <c r="S105" i="28"/>
  <c r="S101" i="28"/>
  <c r="S97" i="28"/>
  <c r="S93" i="28"/>
  <c r="S89" i="28"/>
  <c r="S85" i="28"/>
  <c r="S81" i="28"/>
  <c r="S77" i="28"/>
  <c r="S73" i="28"/>
  <c r="S69" i="28"/>
  <c r="S65" i="28"/>
  <c r="S61" i="28"/>
  <c r="S57" i="28"/>
  <c r="S53" i="28"/>
  <c r="S49" i="28"/>
  <c r="S45" i="28"/>
  <c r="S41" i="28"/>
  <c r="S37" i="28"/>
  <c r="S33" i="28"/>
  <c r="S29" i="28"/>
  <c r="S25" i="28"/>
  <c r="S21" i="28"/>
  <c r="S17" i="28"/>
  <c r="S13" i="28"/>
  <c r="S9" i="28"/>
  <c r="S5" i="28"/>
  <c r="S104" i="28"/>
  <c r="S100" i="28"/>
  <c r="U100" i="28" s="1"/>
  <c r="S96" i="28"/>
  <c r="S92" i="28"/>
  <c r="S88" i="28"/>
  <c r="S84" i="28"/>
  <c r="S80" i="28"/>
  <c r="S76" i="28"/>
  <c r="S72" i="28"/>
  <c r="S68" i="28"/>
  <c r="S64" i="28"/>
  <c r="S60" i="28"/>
  <c r="S56" i="28"/>
  <c r="S52" i="28"/>
  <c r="S48" i="28"/>
  <c r="S44" i="28"/>
  <c r="S40" i="28"/>
  <c r="S36" i="28"/>
  <c r="S32" i="28"/>
  <c r="S28" i="28"/>
  <c r="S24" i="28"/>
  <c r="S20" i="28"/>
  <c r="S16" i="28"/>
  <c r="S12" i="28"/>
  <c r="S8" i="28"/>
  <c r="S4" i="28"/>
  <c r="S103" i="28"/>
  <c r="S99" i="28"/>
  <c r="S95" i="28"/>
  <c r="S91" i="28"/>
  <c r="S87" i="28"/>
  <c r="S83" i="28"/>
  <c r="S102" i="28"/>
  <c r="S86" i="28"/>
  <c r="S75" i="28"/>
  <c r="S67" i="28"/>
  <c r="S59" i="28"/>
  <c r="S51" i="28"/>
  <c r="S43" i="28"/>
  <c r="S35" i="28"/>
  <c r="S27" i="28"/>
  <c r="S19" i="28"/>
  <c r="S11" i="28"/>
  <c r="S3" i="28"/>
  <c r="S98" i="28"/>
  <c r="S82" i="28"/>
  <c r="S74" i="28"/>
  <c r="S66" i="28"/>
  <c r="S58" i="28"/>
  <c r="S50" i="28"/>
  <c r="S42" i="28"/>
  <c r="S34" i="28"/>
  <c r="S26" i="28"/>
  <c r="S18" i="28"/>
  <c r="S10" i="28"/>
  <c r="S2" i="28"/>
  <c r="S90" i="28"/>
  <c r="S70" i="28"/>
  <c r="S62" i="28"/>
  <c r="S54" i="28"/>
  <c r="S38" i="28"/>
  <c r="S22" i="28"/>
  <c r="S6" i="28"/>
  <c r="S94" i="28"/>
  <c r="S79" i="28"/>
  <c r="S71" i="28"/>
  <c r="S63" i="28"/>
  <c r="S55" i="28"/>
  <c r="S47" i="28"/>
  <c r="S39" i="28"/>
  <c r="S31" i="28"/>
  <c r="S23" i="28"/>
  <c r="S15" i="28"/>
  <c r="S7" i="28"/>
  <c r="S78" i="28"/>
  <c r="S46" i="28"/>
  <c r="S30" i="28"/>
  <c r="S14" i="28"/>
  <c r="V114" i="29"/>
  <c r="V118" i="29"/>
  <c r="V107" i="29"/>
  <c r="V111" i="29"/>
  <c r="V115" i="29"/>
  <c r="V113" i="29"/>
  <c r="V108" i="29"/>
  <c r="V112" i="29"/>
  <c r="V116" i="29"/>
  <c r="V109" i="29"/>
  <c r="M107" i="29"/>
  <c r="N107" i="29" s="1"/>
  <c r="U97" i="28"/>
  <c r="U101" i="28"/>
  <c r="U105" i="28"/>
  <c r="U94" i="28"/>
  <c r="U98" i="28"/>
  <c r="U102" i="28"/>
  <c r="U95" i="28"/>
  <c r="U99" i="28"/>
  <c r="U103" i="28"/>
  <c r="U96" i="28"/>
  <c r="U104" i="28"/>
  <c r="T20" i="35"/>
  <c r="M44" i="35"/>
  <c r="M108" i="29" l="1"/>
  <c r="N108" i="29" s="1"/>
  <c r="S22" i="35"/>
  <c r="S21" i="35"/>
  <c r="S20" i="35"/>
  <c r="T31" i="35"/>
  <c r="M39" i="35"/>
  <c r="M38" i="35"/>
  <c r="Q54" i="35"/>
  <c r="P54" i="35"/>
  <c r="O54" i="35"/>
  <c r="N54" i="35"/>
  <c r="M54" i="35"/>
  <c r="Q53" i="35"/>
  <c r="P53" i="35"/>
  <c r="O53" i="35"/>
  <c r="N53" i="35"/>
  <c r="M53" i="35"/>
  <c r="Q52" i="35"/>
  <c r="P52" i="35"/>
  <c r="O52" i="35"/>
  <c r="N52" i="35"/>
  <c r="M52" i="35"/>
  <c r="Q51" i="35"/>
  <c r="P51" i="35"/>
  <c r="O51" i="35"/>
  <c r="N51" i="35"/>
  <c r="M51" i="35"/>
  <c r="Q50" i="35"/>
  <c r="P50" i="35"/>
  <c r="O50" i="35"/>
  <c r="N50" i="35"/>
  <c r="M50" i="35"/>
  <c r="Q49" i="35"/>
  <c r="P49" i="35"/>
  <c r="O49" i="35"/>
  <c r="N49" i="35"/>
  <c r="M49" i="35"/>
  <c r="Q43" i="35"/>
  <c r="P43" i="35"/>
  <c r="O43" i="35"/>
  <c r="N43" i="35"/>
  <c r="M43" i="35"/>
  <c r="Q42" i="35"/>
  <c r="P42" i="35"/>
  <c r="O42" i="35"/>
  <c r="N42" i="35"/>
  <c r="M42" i="35"/>
  <c r="Q41" i="35"/>
  <c r="P41" i="35"/>
  <c r="O41" i="35"/>
  <c r="N41" i="35"/>
  <c r="M41" i="35"/>
  <c r="Q40" i="35"/>
  <c r="P40" i="35"/>
  <c r="O40" i="35"/>
  <c r="N40" i="35"/>
  <c r="M40" i="35"/>
  <c r="Q39" i="35"/>
  <c r="P39" i="35"/>
  <c r="O39" i="35"/>
  <c r="N39" i="35"/>
  <c r="Q38" i="35"/>
  <c r="P38" i="35"/>
  <c r="O38" i="35"/>
  <c r="N38" i="35"/>
  <c r="N44" i="35" s="1"/>
  <c r="S35" i="35"/>
  <c r="U35" i="35" s="1"/>
  <c r="T34" i="35"/>
  <c r="S34" i="35" s="1"/>
  <c r="U34" i="35" s="1"/>
  <c r="T32" i="35"/>
  <c r="S32" i="35" s="1"/>
  <c r="U32" i="35" s="1"/>
  <c r="S31" i="35"/>
  <c r="U31" i="35" s="1"/>
  <c r="S30" i="35"/>
  <c r="U30" i="35" s="1"/>
  <c r="S26" i="35"/>
  <c r="U26" i="35" s="1"/>
  <c r="V26" i="35" s="1"/>
  <c r="W26" i="35" s="1"/>
  <c r="X26" i="35" s="1"/>
  <c r="Y26" i="35" s="1"/>
  <c r="Z26" i="35" s="1"/>
  <c r="AA26" i="35" s="1"/>
  <c r="S25" i="35"/>
  <c r="U25" i="35" s="1"/>
  <c r="V25" i="35" s="1"/>
  <c r="W25" i="35" s="1"/>
  <c r="X25" i="35" s="1"/>
  <c r="Y25" i="35" s="1"/>
  <c r="Z25" i="35" s="1"/>
  <c r="AA25" i="35" s="1"/>
  <c r="T24" i="35"/>
  <c r="S24" i="35" s="1"/>
  <c r="S23" i="35"/>
  <c r="U23" i="35" s="1"/>
  <c r="V23" i="35" s="1"/>
  <c r="W23" i="35" s="1"/>
  <c r="X23" i="35" s="1"/>
  <c r="Y23" i="35" s="1"/>
  <c r="Z23" i="35" s="1"/>
  <c r="AA23" i="35" s="1"/>
  <c r="U22" i="35"/>
  <c r="V22" i="35" s="1"/>
  <c r="W22" i="35" s="1"/>
  <c r="X22" i="35" s="1"/>
  <c r="Y22" i="35" s="1"/>
  <c r="Z22" i="35" s="1"/>
  <c r="AA22" i="35" s="1"/>
  <c r="U21" i="35"/>
  <c r="U19" i="35"/>
  <c r="V19" i="35" s="1"/>
  <c r="W19" i="35" s="1"/>
  <c r="X19" i="35" s="1"/>
  <c r="Y19" i="35" s="1"/>
  <c r="Z19" i="35" s="1"/>
  <c r="AA19" i="35" s="1"/>
  <c r="P49" i="34"/>
  <c r="Q48" i="34"/>
  <c r="M48" i="34"/>
  <c r="N47" i="34"/>
  <c r="P44" i="34"/>
  <c r="Q43" i="34"/>
  <c r="M43" i="34"/>
  <c r="N42" i="34"/>
  <c r="Q40" i="34"/>
  <c r="Q44" i="34" s="1"/>
  <c r="P40" i="34"/>
  <c r="O40" i="34"/>
  <c r="O44" i="34" s="1"/>
  <c r="N40" i="34"/>
  <c r="N44" i="34" s="1"/>
  <c r="M40" i="34"/>
  <c r="M44" i="34" s="1"/>
  <c r="Q39" i="34"/>
  <c r="P39" i="34"/>
  <c r="P43" i="34" s="1"/>
  <c r="O39" i="34"/>
  <c r="O43" i="34" s="1"/>
  <c r="N39" i="34"/>
  <c r="N43" i="34" s="1"/>
  <c r="M39" i="34"/>
  <c r="Q38" i="34"/>
  <c r="Q42" i="34" s="1"/>
  <c r="Q45" i="34" s="1"/>
  <c r="P38" i="34"/>
  <c r="P42" i="34" s="1"/>
  <c r="P45" i="34" s="1"/>
  <c r="O38" i="34"/>
  <c r="O42" i="34" s="1"/>
  <c r="N38" i="34"/>
  <c r="M38" i="34"/>
  <c r="M42" i="34" s="1"/>
  <c r="M45" i="34" s="1"/>
  <c r="Q26" i="34"/>
  <c r="Q49" i="34" s="1"/>
  <c r="P26" i="34"/>
  <c r="O26" i="34"/>
  <c r="O49" i="34" s="1"/>
  <c r="N26" i="34"/>
  <c r="N49" i="34" s="1"/>
  <c r="M26" i="34"/>
  <c r="M49" i="34" s="1"/>
  <c r="Q25" i="34"/>
  <c r="P25" i="34"/>
  <c r="P48" i="34" s="1"/>
  <c r="O25" i="34"/>
  <c r="O48" i="34" s="1"/>
  <c r="N25" i="34"/>
  <c r="N48" i="34" s="1"/>
  <c r="M25" i="34"/>
  <c r="Q24" i="34"/>
  <c r="Q47" i="34" s="1"/>
  <c r="P24" i="34"/>
  <c r="P10" i="34" s="1"/>
  <c r="O24" i="34"/>
  <c r="O47" i="34" s="1"/>
  <c r="O50" i="34" s="1"/>
  <c r="O51" i="34" s="1"/>
  <c r="N24" i="34"/>
  <c r="M24" i="34"/>
  <c r="M47" i="34" s="1"/>
  <c r="Q10" i="34"/>
  <c r="O10" i="34"/>
  <c r="N10" i="34"/>
  <c r="M10" i="34"/>
  <c r="Q9" i="34"/>
  <c r="P9" i="34"/>
  <c r="O9" i="34"/>
  <c r="N9" i="34"/>
  <c r="M9" i="34"/>
  <c r="M111" i="29" l="1"/>
  <c r="N111" i="29" s="1"/>
  <c r="M115" i="29"/>
  <c r="N115" i="29" s="1"/>
  <c r="M109" i="29"/>
  <c r="N109" i="29" s="1"/>
  <c r="M112" i="29"/>
  <c r="N112" i="29" s="1"/>
  <c r="O44" i="35"/>
  <c r="P44" i="35"/>
  <c r="Q44" i="35"/>
  <c r="U24" i="35"/>
  <c r="V24" i="35" s="1"/>
  <c r="W24" i="35" s="1"/>
  <c r="X24" i="35" s="1"/>
  <c r="Y24" i="35" s="1"/>
  <c r="Z24" i="35" s="1"/>
  <c r="AA24" i="35" s="1"/>
  <c r="U51" i="35"/>
  <c r="V32" i="35"/>
  <c r="M50" i="34"/>
  <c r="M51" i="34" s="1"/>
  <c r="Q50" i="34"/>
  <c r="Q51" i="34" s="1"/>
  <c r="V21" i="35"/>
  <c r="U20" i="35"/>
  <c r="V30" i="35"/>
  <c r="U49" i="35"/>
  <c r="O45" i="34"/>
  <c r="U50" i="35"/>
  <c r="V31" i="35"/>
  <c r="V34" i="35"/>
  <c r="U53" i="35"/>
  <c r="N45" i="34"/>
  <c r="N50" i="34"/>
  <c r="N51" i="34" s="1"/>
  <c r="V35" i="35"/>
  <c r="U54" i="35"/>
  <c r="T33" i="35"/>
  <c r="P47" i="34"/>
  <c r="P50" i="34" s="1"/>
  <c r="P51" i="34" s="1"/>
  <c r="M116" i="29" l="1"/>
  <c r="N116" i="29" s="1"/>
  <c r="M117" i="29"/>
  <c r="N117" i="29" s="1"/>
  <c r="M113" i="29"/>
  <c r="N113" i="29" s="1"/>
  <c r="M110" i="29"/>
  <c r="N110" i="29" s="1"/>
  <c r="W21" i="35"/>
  <c r="V20" i="35"/>
  <c r="V54" i="35"/>
  <c r="W35" i="35"/>
  <c r="S33" i="35"/>
  <c r="T29" i="35"/>
  <c r="V53" i="35"/>
  <c r="W34" i="35"/>
  <c r="V49" i="35"/>
  <c r="W30" i="35"/>
  <c r="V50" i="35"/>
  <c r="W31" i="35"/>
  <c r="V51" i="35"/>
  <c r="W32" i="35"/>
  <c r="R5" i="32"/>
  <c r="R6" i="32"/>
  <c r="R7" i="32"/>
  <c r="R8" i="32"/>
  <c r="R9" i="32"/>
  <c r="R10" i="32"/>
  <c r="R11" i="32"/>
  <c r="R12" i="32"/>
  <c r="R13" i="32"/>
  <c r="R14" i="32"/>
  <c r="R15" i="32"/>
  <c r="R16" i="32"/>
  <c r="R17" i="32"/>
  <c r="R18" i="32"/>
  <c r="R19" i="32"/>
  <c r="R20" i="32"/>
  <c r="R21" i="32"/>
  <c r="R22" i="32"/>
  <c r="R23" i="32"/>
  <c r="R4" i="32"/>
  <c r="C35" i="32"/>
  <c r="M114" i="29" l="1"/>
  <c r="N114" i="29" s="1"/>
  <c r="W51" i="35"/>
  <c r="X32" i="35"/>
  <c r="W49" i="35"/>
  <c r="X30" i="35"/>
  <c r="W53" i="35"/>
  <c r="X34" i="35"/>
  <c r="U33" i="35"/>
  <c r="S29" i="35"/>
  <c r="W50" i="35"/>
  <c r="X31" i="35"/>
  <c r="W54" i="35"/>
  <c r="X35" i="35"/>
  <c r="X21" i="35"/>
  <c r="W20" i="35"/>
  <c r="M118" i="29" l="1"/>
  <c r="N118" i="29" s="1"/>
  <c r="X20" i="35"/>
  <c r="Y21" i="35"/>
  <c r="Y31" i="35"/>
  <c r="X50" i="35"/>
  <c r="U41" i="35"/>
  <c r="V33" i="35"/>
  <c r="U52" i="35"/>
  <c r="U29" i="35"/>
  <c r="X51" i="35"/>
  <c r="Y32" i="35"/>
  <c r="Y35" i="35"/>
  <c r="X54" i="35"/>
  <c r="Y34" i="35"/>
  <c r="X53" i="35"/>
  <c r="Y30" i="35"/>
  <c r="X49" i="35"/>
  <c r="K2" i="28"/>
  <c r="K3" i="28"/>
  <c r="K4" i="28"/>
  <c r="K5" i="28"/>
  <c r="K6" i="28"/>
  <c r="K7" i="28"/>
  <c r="K8" i="28"/>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Z34" i="35" l="1"/>
  <c r="Y53" i="35"/>
  <c r="Y51" i="35"/>
  <c r="Z32" i="35"/>
  <c r="Z30" i="35"/>
  <c r="Y49" i="35"/>
  <c r="V41" i="35"/>
  <c r="W33" i="35"/>
  <c r="V52" i="35"/>
  <c r="V29" i="35"/>
  <c r="Y50" i="35"/>
  <c r="Z31" i="35"/>
  <c r="Z21" i="35"/>
  <c r="Y20" i="35"/>
  <c r="Z35" i="35"/>
  <c r="Y54" i="35"/>
  <c r="U42" i="35"/>
  <c r="U40" i="35"/>
  <c r="U38" i="35"/>
  <c r="U39" i="35"/>
  <c r="U43" i="35"/>
  <c r="E6" i="33"/>
  <c r="Z54" i="35" l="1"/>
  <c r="AA35" i="35"/>
  <c r="W52" i="35"/>
  <c r="X33" i="35"/>
  <c r="W29" i="35"/>
  <c r="Z49" i="35"/>
  <c r="AA30" i="35"/>
  <c r="AA21" i="35"/>
  <c r="AA20" i="35" s="1"/>
  <c r="Z20" i="35"/>
  <c r="V40" i="35"/>
  <c r="V43" i="35"/>
  <c r="V38" i="35"/>
  <c r="V39" i="35"/>
  <c r="V42" i="35"/>
  <c r="Z51" i="35"/>
  <c r="AA32" i="35"/>
  <c r="U44" i="35"/>
  <c r="U46" i="35" s="1"/>
  <c r="Z50" i="35"/>
  <c r="AA31" i="35"/>
  <c r="Z53" i="35"/>
  <c r="AA34" i="35"/>
  <c r="F6" i="33"/>
  <c r="G6" i="33" s="1"/>
  <c r="V44" i="35" l="1"/>
  <c r="V46" i="35" s="1"/>
  <c r="AA53" i="35"/>
  <c r="AA49" i="35"/>
  <c r="W42" i="35"/>
  <c r="W43" i="35"/>
  <c r="W38" i="35"/>
  <c r="W40" i="35"/>
  <c r="W39" i="35"/>
  <c r="AA54" i="35"/>
  <c r="Y33" i="35"/>
  <c r="X52" i="35"/>
  <c r="X29" i="35"/>
  <c r="AA50" i="35"/>
  <c r="AA51" i="35"/>
  <c r="W41" i="35"/>
  <c r="C74" i="32" a="1"/>
  <c r="D77" i="32" s="1"/>
  <c r="C56" i="32" a="1"/>
  <c r="D59" i="32" s="1"/>
  <c r="C43" i="32" a="1"/>
  <c r="C46" i="32" s="1"/>
  <c r="C29" i="32" a="1"/>
  <c r="D32" i="32" s="1"/>
  <c r="X42" i="35" l="1"/>
  <c r="X40" i="35"/>
  <c r="X43" i="35"/>
  <c r="X39" i="35"/>
  <c r="X38" i="35"/>
  <c r="W44" i="35"/>
  <c r="W46" i="35" s="1"/>
  <c r="Z33" i="35"/>
  <c r="Y52" i="35"/>
  <c r="Y29" i="35"/>
  <c r="Y41" i="35" s="1"/>
  <c r="X41" i="35"/>
  <c r="C56" i="32"/>
  <c r="C59" i="32"/>
  <c r="D56" i="32"/>
  <c r="C60" i="32"/>
  <c r="D45" i="32"/>
  <c r="C57" i="32"/>
  <c r="D58" i="32"/>
  <c r="C58" i="32"/>
  <c r="D60" i="32"/>
  <c r="C76" i="32"/>
  <c r="D47" i="32"/>
  <c r="C74" i="32"/>
  <c r="D43" i="32"/>
  <c r="C62" i="32"/>
  <c r="C78" i="32"/>
  <c r="C30" i="32"/>
  <c r="C32" i="32"/>
  <c r="C29" i="32"/>
  <c r="C31" i="32"/>
  <c r="C33" i="32"/>
  <c r="D44" i="32"/>
  <c r="D46" i="32"/>
  <c r="D29" i="32"/>
  <c r="D31" i="32"/>
  <c r="D33" i="32"/>
  <c r="C43" i="32"/>
  <c r="C45" i="32"/>
  <c r="C47" i="32"/>
  <c r="D57" i="32"/>
  <c r="D74" i="32"/>
  <c r="D76" i="32"/>
  <c r="D78" i="32"/>
  <c r="C75" i="32"/>
  <c r="C77" i="32"/>
  <c r="D30" i="32"/>
  <c r="C44" i="32"/>
  <c r="D75" i="32"/>
  <c r="AA33" i="35" l="1"/>
  <c r="Z52" i="35"/>
  <c r="Z29" i="35"/>
  <c r="Y43" i="35"/>
  <c r="Y39" i="35"/>
  <c r="Y42" i="35"/>
  <c r="Y40" i="35"/>
  <c r="Y38" i="35"/>
  <c r="X44" i="35"/>
  <c r="X46" i="35" s="1"/>
  <c r="C80" i="32"/>
  <c r="D62" i="32"/>
  <c r="D49" i="32"/>
  <c r="D35" i="32"/>
  <c r="D80" i="32"/>
  <c r="C49" i="32"/>
  <c r="AA52" i="35" l="1"/>
  <c r="AA29" i="35"/>
  <c r="Z43" i="35"/>
  <c r="Z42" i="35"/>
  <c r="Z40" i="35"/>
  <c r="Z39" i="35"/>
  <c r="Z38" i="35"/>
  <c r="Y44" i="35"/>
  <c r="Y46" i="35" s="1"/>
  <c r="Z41" i="35"/>
  <c r="K328" i="29"/>
  <c r="K327" i="29"/>
  <c r="K326" i="29"/>
  <c r="K329" i="29"/>
  <c r="K106" i="29"/>
  <c r="K105" i="29"/>
  <c r="K104" i="29"/>
  <c r="K103" i="29"/>
  <c r="E329" i="29"/>
  <c r="C329" i="29"/>
  <c r="E328" i="29"/>
  <c r="C328" i="29"/>
  <c r="E327" i="29"/>
  <c r="C327" i="29"/>
  <c r="E326" i="29"/>
  <c r="C326" i="29"/>
  <c r="K325" i="29"/>
  <c r="E325" i="29"/>
  <c r="C325" i="29"/>
  <c r="K324" i="29"/>
  <c r="E324" i="29"/>
  <c r="C324" i="29"/>
  <c r="K323" i="29"/>
  <c r="E323" i="29"/>
  <c r="C323" i="29"/>
  <c r="K322" i="29"/>
  <c r="E322" i="29"/>
  <c r="C322" i="29"/>
  <c r="K321" i="29"/>
  <c r="E321" i="29"/>
  <c r="C321" i="29"/>
  <c r="K320" i="29"/>
  <c r="E320" i="29"/>
  <c r="C320" i="29"/>
  <c r="K319" i="29"/>
  <c r="E319" i="29"/>
  <c r="C319" i="29"/>
  <c r="K318" i="29"/>
  <c r="E318" i="29"/>
  <c r="C318" i="29"/>
  <c r="K317" i="29"/>
  <c r="E317" i="29"/>
  <c r="C317" i="29"/>
  <c r="K316" i="29"/>
  <c r="E316" i="29"/>
  <c r="C316" i="29"/>
  <c r="K315" i="29"/>
  <c r="E315" i="29"/>
  <c r="C315" i="29"/>
  <c r="K314" i="29"/>
  <c r="E314" i="29"/>
  <c r="C314" i="29"/>
  <c r="K313" i="29"/>
  <c r="E313" i="29"/>
  <c r="C313" i="29"/>
  <c r="K312" i="29"/>
  <c r="E312" i="29"/>
  <c r="C312" i="29"/>
  <c r="K311" i="29"/>
  <c r="E311" i="29"/>
  <c r="C311" i="29"/>
  <c r="K310" i="29"/>
  <c r="E310" i="29"/>
  <c r="C310" i="29"/>
  <c r="K309" i="29"/>
  <c r="E309" i="29"/>
  <c r="C309" i="29"/>
  <c r="K308" i="29"/>
  <c r="E308" i="29"/>
  <c r="C308" i="29"/>
  <c r="K307" i="29"/>
  <c r="E307" i="29"/>
  <c r="C307" i="29"/>
  <c r="K306" i="29"/>
  <c r="E306" i="29"/>
  <c r="C306" i="29"/>
  <c r="K305" i="29"/>
  <c r="E305" i="29"/>
  <c r="C305" i="29"/>
  <c r="K304" i="29"/>
  <c r="E304" i="29"/>
  <c r="C304" i="29"/>
  <c r="K303" i="29"/>
  <c r="E303" i="29"/>
  <c r="C303" i="29"/>
  <c r="K302" i="29"/>
  <c r="E302" i="29"/>
  <c r="C302" i="29"/>
  <c r="K301" i="29"/>
  <c r="E301" i="29"/>
  <c r="C301" i="29"/>
  <c r="K300" i="29"/>
  <c r="E300" i="29"/>
  <c r="C300" i="29"/>
  <c r="K299" i="29"/>
  <c r="E299" i="29"/>
  <c r="C299" i="29"/>
  <c r="K298" i="29"/>
  <c r="E298" i="29"/>
  <c r="C298" i="29"/>
  <c r="K297" i="29"/>
  <c r="E297" i="29"/>
  <c r="C297" i="29"/>
  <c r="K296" i="29"/>
  <c r="E296" i="29"/>
  <c r="C296" i="29"/>
  <c r="K295" i="29"/>
  <c r="E295" i="29"/>
  <c r="C295" i="29"/>
  <c r="K294" i="29"/>
  <c r="E294" i="29"/>
  <c r="C294" i="29"/>
  <c r="K293" i="29"/>
  <c r="E293" i="29"/>
  <c r="C293" i="29"/>
  <c r="K292" i="29"/>
  <c r="E292" i="29"/>
  <c r="C292" i="29"/>
  <c r="K291" i="29"/>
  <c r="E291" i="29"/>
  <c r="C291" i="29"/>
  <c r="K290" i="29"/>
  <c r="E290" i="29"/>
  <c r="C290" i="29"/>
  <c r="K289" i="29"/>
  <c r="E289" i="29"/>
  <c r="C289" i="29"/>
  <c r="K288" i="29"/>
  <c r="E288" i="29"/>
  <c r="C288" i="29"/>
  <c r="K287" i="29"/>
  <c r="E287" i="29"/>
  <c r="C287" i="29"/>
  <c r="K286" i="29"/>
  <c r="E286" i="29"/>
  <c r="C286" i="29"/>
  <c r="K285" i="29"/>
  <c r="E285" i="29"/>
  <c r="C285" i="29"/>
  <c r="K284" i="29"/>
  <c r="E284" i="29"/>
  <c r="C284" i="29"/>
  <c r="K283" i="29"/>
  <c r="E283" i="29"/>
  <c r="C283" i="29"/>
  <c r="K282" i="29"/>
  <c r="E282" i="29"/>
  <c r="C282" i="29"/>
  <c r="K281" i="29"/>
  <c r="E281" i="29"/>
  <c r="C281" i="29"/>
  <c r="K280" i="29"/>
  <c r="E280" i="29"/>
  <c r="C280" i="29"/>
  <c r="K279" i="29"/>
  <c r="E279" i="29"/>
  <c r="C279" i="29"/>
  <c r="K278" i="29"/>
  <c r="E278" i="29"/>
  <c r="C278" i="29"/>
  <c r="K277" i="29"/>
  <c r="E277" i="29"/>
  <c r="C277" i="29"/>
  <c r="K276" i="29"/>
  <c r="E276" i="29"/>
  <c r="C276" i="29"/>
  <c r="K275" i="29"/>
  <c r="E275" i="29"/>
  <c r="C275" i="29"/>
  <c r="K274" i="29"/>
  <c r="E274" i="29"/>
  <c r="C274" i="29"/>
  <c r="K273" i="29"/>
  <c r="E273" i="29"/>
  <c r="C273" i="29"/>
  <c r="K272" i="29"/>
  <c r="E272" i="29"/>
  <c r="C272" i="29"/>
  <c r="K271" i="29"/>
  <c r="E271" i="29"/>
  <c r="C271" i="29"/>
  <c r="K270" i="29"/>
  <c r="E270" i="29"/>
  <c r="C270" i="29"/>
  <c r="K269" i="29"/>
  <c r="E269" i="29"/>
  <c r="C269" i="29"/>
  <c r="K268" i="29"/>
  <c r="E268" i="29"/>
  <c r="C268" i="29"/>
  <c r="K267" i="29"/>
  <c r="E267" i="29"/>
  <c r="C267" i="29"/>
  <c r="K266" i="29"/>
  <c r="E266" i="29"/>
  <c r="C266" i="29"/>
  <c r="K265" i="29"/>
  <c r="E265" i="29"/>
  <c r="C265" i="29"/>
  <c r="K264" i="29"/>
  <c r="E264" i="29"/>
  <c r="C264" i="29"/>
  <c r="K263" i="29"/>
  <c r="E263" i="29"/>
  <c r="C263" i="29"/>
  <c r="K262" i="29"/>
  <c r="E262" i="29"/>
  <c r="C262" i="29"/>
  <c r="K261" i="29"/>
  <c r="E261" i="29"/>
  <c r="C261" i="29"/>
  <c r="K260" i="29"/>
  <c r="E260" i="29"/>
  <c r="C260" i="29"/>
  <c r="K259" i="29"/>
  <c r="E259" i="29"/>
  <c r="C259" i="29"/>
  <c r="K258" i="29"/>
  <c r="E258" i="29"/>
  <c r="C258" i="29"/>
  <c r="K257" i="29"/>
  <c r="E257" i="29"/>
  <c r="C257" i="29"/>
  <c r="K256" i="29"/>
  <c r="E256" i="29"/>
  <c r="C256" i="29"/>
  <c r="K255" i="29"/>
  <c r="E255" i="29"/>
  <c r="C255" i="29"/>
  <c r="K254" i="29"/>
  <c r="E254" i="29"/>
  <c r="C254" i="29"/>
  <c r="K253" i="29"/>
  <c r="E253" i="29"/>
  <c r="C253" i="29"/>
  <c r="K252" i="29"/>
  <c r="E252" i="29"/>
  <c r="C252" i="29"/>
  <c r="K251" i="29"/>
  <c r="E251" i="29"/>
  <c r="C251" i="29"/>
  <c r="K250" i="29"/>
  <c r="E250" i="29"/>
  <c r="C250" i="29"/>
  <c r="K249" i="29"/>
  <c r="E249" i="29"/>
  <c r="C249" i="29"/>
  <c r="K248" i="29"/>
  <c r="E248" i="29"/>
  <c r="C248" i="29"/>
  <c r="K247" i="29"/>
  <c r="E247" i="29"/>
  <c r="C247" i="29"/>
  <c r="K246" i="29"/>
  <c r="E246" i="29"/>
  <c r="C246" i="29"/>
  <c r="K245" i="29"/>
  <c r="E245" i="29"/>
  <c r="C245" i="29"/>
  <c r="K244" i="29"/>
  <c r="E244" i="29"/>
  <c r="C244" i="29"/>
  <c r="K243" i="29"/>
  <c r="E243" i="29"/>
  <c r="C243" i="29"/>
  <c r="K242" i="29"/>
  <c r="E242" i="29"/>
  <c r="C242" i="29"/>
  <c r="K241" i="29"/>
  <c r="K240" i="29"/>
  <c r="K239" i="29"/>
  <c r="K238" i="29"/>
  <c r="K220" i="29"/>
  <c r="E220" i="29"/>
  <c r="C220" i="29"/>
  <c r="K219" i="29"/>
  <c r="E219" i="29"/>
  <c r="C219" i="29"/>
  <c r="K218" i="29"/>
  <c r="E218" i="29"/>
  <c r="C218" i="29"/>
  <c r="K217" i="29"/>
  <c r="E217" i="29"/>
  <c r="C217" i="29"/>
  <c r="K216" i="29"/>
  <c r="E216" i="29"/>
  <c r="C216" i="29"/>
  <c r="K215" i="29"/>
  <c r="E215" i="29"/>
  <c r="C215" i="29"/>
  <c r="K214" i="29"/>
  <c r="E214" i="29"/>
  <c r="C214" i="29"/>
  <c r="K213" i="29"/>
  <c r="E213" i="29"/>
  <c r="C213" i="29"/>
  <c r="K212" i="29"/>
  <c r="E212" i="29"/>
  <c r="C212" i="29"/>
  <c r="K211" i="29"/>
  <c r="E211" i="29"/>
  <c r="C211" i="29"/>
  <c r="K210" i="29"/>
  <c r="E210" i="29"/>
  <c r="C210" i="29"/>
  <c r="K209" i="29"/>
  <c r="E209" i="29"/>
  <c r="C209" i="29"/>
  <c r="K208" i="29"/>
  <c r="E208" i="29"/>
  <c r="C208" i="29"/>
  <c r="K207" i="29"/>
  <c r="E207" i="29"/>
  <c r="C207" i="29"/>
  <c r="K206" i="29"/>
  <c r="E206" i="29"/>
  <c r="C206" i="29"/>
  <c r="K205" i="29"/>
  <c r="E205" i="29"/>
  <c r="C205" i="29"/>
  <c r="K204" i="29"/>
  <c r="E204" i="29"/>
  <c r="C204" i="29"/>
  <c r="K203" i="29"/>
  <c r="E203" i="29"/>
  <c r="C203" i="29"/>
  <c r="K202" i="29"/>
  <c r="E202" i="29"/>
  <c r="C202" i="29"/>
  <c r="K201" i="29"/>
  <c r="E201" i="29"/>
  <c r="C201" i="29"/>
  <c r="K200" i="29"/>
  <c r="E200" i="29"/>
  <c r="C200" i="29"/>
  <c r="K199" i="29"/>
  <c r="E199" i="29"/>
  <c r="C199" i="29"/>
  <c r="K198" i="29"/>
  <c r="E198" i="29"/>
  <c r="C198" i="29"/>
  <c r="K197" i="29"/>
  <c r="E197" i="29"/>
  <c r="C197" i="29"/>
  <c r="K196" i="29"/>
  <c r="E196" i="29"/>
  <c r="C196" i="29"/>
  <c r="K195" i="29"/>
  <c r="E195" i="29"/>
  <c r="C195" i="29"/>
  <c r="K194" i="29"/>
  <c r="E194" i="29"/>
  <c r="C194" i="29"/>
  <c r="K193" i="29"/>
  <c r="E193" i="29"/>
  <c r="C193" i="29"/>
  <c r="K192" i="29"/>
  <c r="E192" i="29"/>
  <c r="C192" i="29"/>
  <c r="K191" i="29"/>
  <c r="E191" i="29"/>
  <c r="C191" i="29"/>
  <c r="K190" i="29"/>
  <c r="E190" i="29"/>
  <c r="C190" i="29"/>
  <c r="K189" i="29"/>
  <c r="E189" i="29"/>
  <c r="C189" i="29"/>
  <c r="K188" i="29"/>
  <c r="E188" i="29"/>
  <c r="C188" i="29"/>
  <c r="K187" i="29"/>
  <c r="E187" i="29"/>
  <c r="C187" i="29"/>
  <c r="K186" i="29"/>
  <c r="E186" i="29"/>
  <c r="C186" i="29"/>
  <c r="K185" i="29"/>
  <c r="E185" i="29"/>
  <c r="C185" i="29"/>
  <c r="K184" i="29"/>
  <c r="E184" i="29"/>
  <c r="C184" i="29"/>
  <c r="K183" i="29"/>
  <c r="E183" i="29"/>
  <c r="C183" i="29"/>
  <c r="K182" i="29"/>
  <c r="E182" i="29"/>
  <c r="C182" i="29"/>
  <c r="K181" i="29"/>
  <c r="E181" i="29"/>
  <c r="C181" i="29"/>
  <c r="K180" i="29"/>
  <c r="E180" i="29"/>
  <c r="C180" i="29"/>
  <c r="K179" i="29"/>
  <c r="E179" i="29"/>
  <c r="C179" i="29"/>
  <c r="K178" i="29"/>
  <c r="E178" i="29"/>
  <c r="C178" i="29"/>
  <c r="K177" i="29"/>
  <c r="E177" i="29"/>
  <c r="C177" i="29"/>
  <c r="K176" i="29"/>
  <c r="E176" i="29"/>
  <c r="C176" i="29"/>
  <c r="K175" i="29"/>
  <c r="E175" i="29"/>
  <c r="C175" i="29"/>
  <c r="K174" i="29"/>
  <c r="E174" i="29"/>
  <c r="C174" i="29"/>
  <c r="K173" i="29"/>
  <c r="E173" i="29"/>
  <c r="C173" i="29"/>
  <c r="K172" i="29"/>
  <c r="E172" i="29"/>
  <c r="C172" i="29"/>
  <c r="K171" i="29"/>
  <c r="E171" i="29"/>
  <c r="C171" i="29"/>
  <c r="K170" i="29"/>
  <c r="E170" i="29"/>
  <c r="C170" i="29"/>
  <c r="K169" i="29"/>
  <c r="E169" i="29"/>
  <c r="C169" i="29"/>
  <c r="K168" i="29"/>
  <c r="E168" i="29"/>
  <c r="C168" i="29"/>
  <c r="K167" i="29"/>
  <c r="E167" i="29"/>
  <c r="C167" i="29"/>
  <c r="K166" i="29"/>
  <c r="E166" i="29"/>
  <c r="C166" i="29"/>
  <c r="K165" i="29"/>
  <c r="E165" i="29"/>
  <c r="C165" i="29"/>
  <c r="K164" i="29"/>
  <c r="E164" i="29"/>
  <c r="C164" i="29"/>
  <c r="K163" i="29"/>
  <c r="E163" i="29"/>
  <c r="C163" i="29"/>
  <c r="K162" i="29"/>
  <c r="E162" i="29"/>
  <c r="C162" i="29"/>
  <c r="K161" i="29"/>
  <c r="E161" i="29"/>
  <c r="C161" i="29"/>
  <c r="K160" i="29"/>
  <c r="E160" i="29"/>
  <c r="C160" i="29"/>
  <c r="K159" i="29"/>
  <c r="E159" i="29"/>
  <c r="C159" i="29"/>
  <c r="K158" i="29"/>
  <c r="E158" i="29"/>
  <c r="C158" i="29"/>
  <c r="K157" i="29"/>
  <c r="E157" i="29"/>
  <c r="C157" i="29"/>
  <c r="K156" i="29"/>
  <c r="E156" i="29"/>
  <c r="C156" i="29"/>
  <c r="K155" i="29"/>
  <c r="E155" i="29"/>
  <c r="C155" i="29"/>
  <c r="K154" i="29"/>
  <c r="E154" i="29"/>
  <c r="C154" i="29"/>
  <c r="K153" i="29"/>
  <c r="E153" i="29"/>
  <c r="C153" i="29"/>
  <c r="K152" i="29"/>
  <c r="E152" i="29"/>
  <c r="C152" i="29"/>
  <c r="K151" i="29"/>
  <c r="E151" i="29"/>
  <c r="C151" i="29"/>
  <c r="K150" i="29"/>
  <c r="E150" i="29"/>
  <c r="C150" i="29"/>
  <c r="K149" i="29"/>
  <c r="E149" i="29"/>
  <c r="C149" i="29"/>
  <c r="K148" i="29"/>
  <c r="E148" i="29"/>
  <c r="C148" i="29"/>
  <c r="K147" i="29"/>
  <c r="E147" i="29"/>
  <c r="C147" i="29"/>
  <c r="K146" i="29"/>
  <c r="E146" i="29"/>
  <c r="C146" i="29"/>
  <c r="K145" i="29"/>
  <c r="E145" i="29"/>
  <c r="C145" i="29"/>
  <c r="K144" i="29"/>
  <c r="E144" i="29"/>
  <c r="C144" i="29"/>
  <c r="K143" i="29"/>
  <c r="E143" i="29"/>
  <c r="C143" i="29"/>
  <c r="K142" i="29"/>
  <c r="E142" i="29"/>
  <c r="C142" i="29"/>
  <c r="K141" i="29"/>
  <c r="E141" i="29"/>
  <c r="C141" i="29"/>
  <c r="K140" i="29"/>
  <c r="E140" i="29"/>
  <c r="C140" i="29"/>
  <c r="K139" i="29"/>
  <c r="E139" i="29"/>
  <c r="C139" i="29"/>
  <c r="K138" i="29"/>
  <c r="E138" i="29"/>
  <c r="C138" i="29"/>
  <c r="K137" i="29"/>
  <c r="E137" i="29"/>
  <c r="C137" i="29"/>
  <c r="K136" i="29"/>
  <c r="E136" i="29"/>
  <c r="C136" i="29"/>
  <c r="K135" i="29"/>
  <c r="E135" i="29"/>
  <c r="C135" i="29"/>
  <c r="K134" i="29"/>
  <c r="E134" i="29"/>
  <c r="C134" i="29"/>
  <c r="K133" i="29"/>
  <c r="E133" i="29"/>
  <c r="C133" i="29"/>
  <c r="K132" i="29"/>
  <c r="K131" i="29"/>
  <c r="K130" i="29"/>
  <c r="K129" i="29"/>
  <c r="Z44" i="35" l="1"/>
  <c r="Z46" i="35" s="1"/>
  <c r="AA42" i="35"/>
  <c r="AA39" i="35"/>
  <c r="AA38" i="35"/>
  <c r="AA43" i="35"/>
  <c r="AA40" i="35"/>
  <c r="AA41" i="35"/>
  <c r="V249" i="29"/>
  <c r="V253" i="29"/>
  <c r="V261" i="29"/>
  <c r="V265" i="29"/>
  <c r="V269" i="29"/>
  <c r="V277" i="29"/>
  <c r="V281" i="29"/>
  <c r="V285" i="29"/>
  <c r="V293" i="29"/>
  <c r="V297" i="29"/>
  <c r="V301" i="29"/>
  <c r="V313" i="29"/>
  <c r="V317" i="29"/>
  <c r="V325" i="29"/>
  <c r="V329" i="29"/>
  <c r="V248" i="29"/>
  <c r="V260" i="29"/>
  <c r="V268" i="29"/>
  <c r="V276" i="29"/>
  <c r="V292" i="29"/>
  <c r="V300" i="29"/>
  <c r="V304" i="29"/>
  <c r="V320" i="29"/>
  <c r="V238" i="29"/>
  <c r="V242" i="29"/>
  <c r="V250" i="29"/>
  <c r="V254" i="29"/>
  <c r="V258" i="29"/>
  <c r="V266" i="29"/>
  <c r="V270" i="29"/>
  <c r="V274" i="29"/>
  <c r="V282" i="29"/>
  <c r="V286" i="29"/>
  <c r="V290" i="29"/>
  <c r="V298" i="29"/>
  <c r="V302" i="29"/>
  <c r="V306" i="29"/>
  <c r="V314" i="29"/>
  <c r="V318" i="29"/>
  <c r="V322" i="29"/>
  <c r="V244" i="29"/>
  <c r="V256" i="29"/>
  <c r="V264" i="29"/>
  <c r="V280" i="29"/>
  <c r="V288" i="29"/>
  <c r="V296" i="29"/>
  <c r="V316" i="29"/>
  <c r="V328" i="29"/>
  <c r="V239" i="29"/>
  <c r="V247" i="29"/>
  <c r="V251" i="29"/>
  <c r="V255" i="29"/>
  <c r="V263" i="29"/>
  <c r="V267" i="29"/>
  <c r="V271" i="29"/>
  <c r="V279" i="29"/>
  <c r="V283" i="29"/>
  <c r="V287" i="29"/>
  <c r="V295" i="29"/>
  <c r="V299" i="29"/>
  <c r="V303" i="29"/>
  <c r="V311" i="29"/>
  <c r="V315" i="29"/>
  <c r="V319" i="29"/>
  <c r="V327" i="29"/>
  <c r="V240" i="29"/>
  <c r="V324" i="29"/>
  <c r="V136" i="29"/>
  <c r="V140" i="29"/>
  <c r="V144" i="29"/>
  <c r="V152" i="29"/>
  <c r="V156" i="29"/>
  <c r="V160" i="29"/>
  <c r="V168" i="29"/>
  <c r="V172" i="29"/>
  <c r="V176" i="29"/>
  <c r="V184" i="29"/>
  <c r="V188" i="29"/>
  <c r="V192" i="29"/>
  <c r="V200" i="29"/>
  <c r="V204" i="29"/>
  <c r="V208" i="29"/>
  <c r="V216" i="29"/>
  <c r="V220" i="29"/>
  <c r="V135" i="29"/>
  <c r="V143" i="29"/>
  <c r="V147" i="29"/>
  <c r="V151" i="29"/>
  <c r="V167" i="29"/>
  <c r="V175" i="29"/>
  <c r="V183" i="29"/>
  <c r="V199" i="29"/>
  <c r="V207" i="29"/>
  <c r="V215" i="29"/>
  <c r="V133" i="29"/>
  <c r="V137" i="29"/>
  <c r="V141" i="29"/>
  <c r="V149" i="29"/>
  <c r="V153" i="29"/>
  <c r="V157" i="29"/>
  <c r="V165" i="29"/>
  <c r="V169" i="29"/>
  <c r="V173" i="29"/>
  <c r="V181" i="29"/>
  <c r="V185" i="29"/>
  <c r="V189" i="29"/>
  <c r="V197" i="29"/>
  <c r="V201" i="29"/>
  <c r="V205" i="29"/>
  <c r="V213" i="29"/>
  <c r="V217" i="29"/>
  <c r="V131" i="29"/>
  <c r="V163" i="29"/>
  <c r="V171" i="29"/>
  <c r="V179" i="29"/>
  <c r="V195" i="29"/>
  <c r="V203" i="29"/>
  <c r="V211" i="29"/>
  <c r="V130" i="29"/>
  <c r="V134" i="29"/>
  <c r="V138" i="29"/>
  <c r="V146" i="29"/>
  <c r="V150" i="29"/>
  <c r="V154" i="29"/>
  <c r="V162" i="29"/>
  <c r="V166" i="29"/>
  <c r="V170" i="29"/>
  <c r="V178" i="29"/>
  <c r="V182" i="29"/>
  <c r="V186" i="29"/>
  <c r="V194" i="29"/>
  <c r="V198" i="29"/>
  <c r="V202" i="29"/>
  <c r="V210" i="29"/>
  <c r="V214" i="29"/>
  <c r="V218" i="29"/>
  <c r="V312" i="29"/>
  <c r="V308" i="29"/>
  <c r="V284" i="29"/>
  <c r="V272" i="29"/>
  <c r="V252" i="29"/>
  <c r="V323" i="29"/>
  <c r="V307" i="29"/>
  <c r="V291" i="29"/>
  <c r="V275" i="29"/>
  <c r="V259" i="29"/>
  <c r="V243" i="29"/>
  <c r="V326" i="29"/>
  <c r="V321" i="29"/>
  <c r="V310" i="29"/>
  <c r="V294" i="29"/>
  <c r="V278" i="29"/>
  <c r="V262" i="29"/>
  <c r="V246" i="29"/>
  <c r="V309" i="29"/>
  <c r="V245" i="29"/>
  <c r="V289" i="29"/>
  <c r="V257" i="29"/>
  <c r="V305" i="29"/>
  <c r="V273" i="29"/>
  <c r="V241" i="29"/>
  <c r="V206" i="29"/>
  <c r="V190" i="29"/>
  <c r="V174" i="29"/>
  <c r="V158" i="29"/>
  <c r="V142" i="29"/>
  <c r="V212" i="29"/>
  <c r="V196" i="29"/>
  <c r="V180" i="29"/>
  <c r="V164" i="29"/>
  <c r="V148" i="29"/>
  <c r="V132" i="29"/>
  <c r="V209" i="29"/>
  <c r="V193" i="29"/>
  <c r="V177" i="29"/>
  <c r="V161" i="29"/>
  <c r="V145" i="29"/>
  <c r="V129" i="29"/>
  <c r="V155" i="29"/>
  <c r="V191" i="29"/>
  <c r="V159" i="29"/>
  <c r="V187" i="29"/>
  <c r="V139" i="29"/>
  <c r="V219" i="29"/>
  <c r="AA44" i="35" l="1"/>
  <c r="AA46" i="35" s="1"/>
  <c r="K99" i="29"/>
  <c r="E106" i="29"/>
  <c r="C106" i="29"/>
  <c r="E105" i="29"/>
  <c r="C105" i="29"/>
  <c r="E104" i="29"/>
  <c r="C104" i="29"/>
  <c r="E103" i="29"/>
  <c r="C103" i="29"/>
  <c r="K102" i="29"/>
  <c r="E102" i="29"/>
  <c r="C102" i="29"/>
  <c r="K101" i="29"/>
  <c r="E101" i="29"/>
  <c r="C101" i="29"/>
  <c r="K100" i="29"/>
  <c r="E100" i="29"/>
  <c r="C100" i="29"/>
  <c r="E99" i="29"/>
  <c r="C99" i="29"/>
  <c r="K98" i="29"/>
  <c r="E98" i="29"/>
  <c r="C98" i="29"/>
  <c r="K97" i="29"/>
  <c r="E97" i="29"/>
  <c r="C97" i="29"/>
  <c r="K96" i="29"/>
  <c r="E96" i="29"/>
  <c r="C96" i="29"/>
  <c r="K95" i="29"/>
  <c r="E95" i="29"/>
  <c r="C95" i="29"/>
  <c r="K94" i="29"/>
  <c r="E94" i="29"/>
  <c r="C94" i="29"/>
  <c r="K93" i="29"/>
  <c r="E93" i="29"/>
  <c r="C93" i="29"/>
  <c r="K92" i="29"/>
  <c r="E92" i="29"/>
  <c r="C92" i="29"/>
  <c r="K91" i="29"/>
  <c r="E91" i="29"/>
  <c r="C91" i="29"/>
  <c r="K90" i="29"/>
  <c r="E90" i="29"/>
  <c r="C90" i="29"/>
  <c r="K89" i="29"/>
  <c r="E89" i="29"/>
  <c r="C89" i="29"/>
  <c r="K88" i="29"/>
  <c r="E88" i="29"/>
  <c r="C88" i="29"/>
  <c r="K87" i="29"/>
  <c r="E87" i="29"/>
  <c r="C87" i="29"/>
  <c r="K86" i="29"/>
  <c r="E86" i="29"/>
  <c r="C86" i="29"/>
  <c r="K85" i="29"/>
  <c r="E85" i="29"/>
  <c r="C85" i="29"/>
  <c r="K84" i="29"/>
  <c r="E84" i="29"/>
  <c r="C84" i="29"/>
  <c r="K83" i="29"/>
  <c r="E83" i="29"/>
  <c r="C83" i="29"/>
  <c r="K82" i="29"/>
  <c r="E82" i="29"/>
  <c r="C82" i="29"/>
  <c r="K81" i="29"/>
  <c r="E81" i="29"/>
  <c r="C81" i="29"/>
  <c r="K80" i="29"/>
  <c r="E80" i="29"/>
  <c r="C80" i="29"/>
  <c r="K79" i="29"/>
  <c r="E79" i="29"/>
  <c r="C79" i="29"/>
  <c r="K78" i="29"/>
  <c r="E78" i="29"/>
  <c r="C78" i="29"/>
  <c r="K77" i="29"/>
  <c r="E77" i="29"/>
  <c r="C77" i="29"/>
  <c r="K76" i="29"/>
  <c r="E76" i="29"/>
  <c r="C76" i="29"/>
  <c r="K75" i="29"/>
  <c r="E75" i="29"/>
  <c r="C75" i="29"/>
  <c r="K74" i="29"/>
  <c r="E74" i="29"/>
  <c r="C74" i="29"/>
  <c r="K73" i="29"/>
  <c r="E73" i="29"/>
  <c r="C73" i="29"/>
  <c r="K72" i="29"/>
  <c r="E72" i="29"/>
  <c r="C72" i="29"/>
  <c r="K71" i="29"/>
  <c r="E71" i="29"/>
  <c r="C71" i="29"/>
  <c r="K70" i="29"/>
  <c r="E70" i="29"/>
  <c r="C70" i="29"/>
  <c r="K69" i="29"/>
  <c r="E69" i="29"/>
  <c r="C69" i="29"/>
  <c r="K68" i="29"/>
  <c r="E68" i="29"/>
  <c r="C68" i="29"/>
  <c r="K67" i="29"/>
  <c r="E67" i="29"/>
  <c r="C67" i="29"/>
  <c r="K66" i="29"/>
  <c r="E66" i="29"/>
  <c r="C66" i="29"/>
  <c r="K65" i="29"/>
  <c r="E65" i="29"/>
  <c r="C65" i="29"/>
  <c r="K64" i="29"/>
  <c r="E64" i="29"/>
  <c r="C64" i="29"/>
  <c r="K63" i="29"/>
  <c r="E63" i="29"/>
  <c r="C63" i="29"/>
  <c r="K62" i="29"/>
  <c r="E62" i="29"/>
  <c r="C62" i="29"/>
  <c r="K61" i="29"/>
  <c r="E61" i="29"/>
  <c r="C61" i="29"/>
  <c r="K60" i="29"/>
  <c r="E60" i="29"/>
  <c r="C60" i="29"/>
  <c r="K59" i="29"/>
  <c r="E59" i="29"/>
  <c r="C59" i="29"/>
  <c r="K58" i="29"/>
  <c r="E58" i="29"/>
  <c r="C58" i="29"/>
  <c r="K57" i="29"/>
  <c r="E57" i="29"/>
  <c r="C57" i="29"/>
  <c r="K56" i="29"/>
  <c r="E56" i="29"/>
  <c r="C56" i="29"/>
  <c r="K55" i="29"/>
  <c r="E55" i="29"/>
  <c r="C55" i="29"/>
  <c r="K54" i="29"/>
  <c r="E54" i="29"/>
  <c r="C54" i="29"/>
  <c r="K53" i="29"/>
  <c r="E53" i="29"/>
  <c r="C53" i="29"/>
  <c r="K52" i="29"/>
  <c r="E52" i="29"/>
  <c r="C52" i="29"/>
  <c r="K51" i="29"/>
  <c r="E51" i="29"/>
  <c r="C51" i="29"/>
  <c r="K50" i="29"/>
  <c r="E50" i="29"/>
  <c r="C50" i="29"/>
  <c r="K49" i="29"/>
  <c r="E49" i="29"/>
  <c r="C49" i="29"/>
  <c r="K48" i="29"/>
  <c r="E48" i="29"/>
  <c r="C48" i="29"/>
  <c r="K47" i="29"/>
  <c r="E47" i="29"/>
  <c r="C47" i="29"/>
  <c r="K46" i="29"/>
  <c r="E46" i="29"/>
  <c r="C46" i="29"/>
  <c r="K45" i="29"/>
  <c r="E45" i="29"/>
  <c r="C45" i="29"/>
  <c r="K44" i="29"/>
  <c r="E44" i="29"/>
  <c r="C44" i="29"/>
  <c r="K43" i="29"/>
  <c r="E43" i="29"/>
  <c r="C43" i="29"/>
  <c r="K42" i="29"/>
  <c r="E42" i="29"/>
  <c r="C42" i="29"/>
  <c r="K41" i="29"/>
  <c r="E41" i="29"/>
  <c r="C41" i="29"/>
  <c r="K40" i="29"/>
  <c r="E40" i="29"/>
  <c r="C40" i="29"/>
  <c r="K39" i="29"/>
  <c r="E39" i="29"/>
  <c r="C39" i="29"/>
  <c r="K38" i="29"/>
  <c r="E38" i="29"/>
  <c r="C38" i="29"/>
  <c r="K37" i="29"/>
  <c r="E37" i="29"/>
  <c r="C37" i="29"/>
  <c r="K36" i="29"/>
  <c r="E36" i="29"/>
  <c r="C36" i="29"/>
  <c r="K35" i="29"/>
  <c r="E35" i="29"/>
  <c r="C35" i="29"/>
  <c r="K34" i="29"/>
  <c r="E34" i="29"/>
  <c r="C34" i="29"/>
  <c r="K33" i="29"/>
  <c r="E33" i="29"/>
  <c r="C33" i="29"/>
  <c r="K32" i="29"/>
  <c r="E32" i="29"/>
  <c r="C32" i="29"/>
  <c r="K31" i="29"/>
  <c r="E31" i="29"/>
  <c r="C31" i="29"/>
  <c r="K30" i="29"/>
  <c r="E30" i="29"/>
  <c r="C30" i="29"/>
  <c r="K29" i="29"/>
  <c r="E29" i="29"/>
  <c r="C29" i="29"/>
  <c r="K28" i="29"/>
  <c r="E28" i="29"/>
  <c r="C28" i="29"/>
  <c r="K27" i="29"/>
  <c r="E27" i="29"/>
  <c r="C27" i="29"/>
  <c r="K26" i="29"/>
  <c r="E26" i="29"/>
  <c r="C26" i="29"/>
  <c r="K25" i="29"/>
  <c r="E25" i="29"/>
  <c r="C25" i="29"/>
  <c r="K24" i="29"/>
  <c r="E24" i="29"/>
  <c r="C24" i="29"/>
  <c r="K23" i="29"/>
  <c r="E23" i="29"/>
  <c r="C23" i="29"/>
  <c r="K22" i="29"/>
  <c r="E22" i="29"/>
  <c r="C22" i="29"/>
  <c r="K21" i="29"/>
  <c r="E21" i="29"/>
  <c r="C21" i="29"/>
  <c r="K20" i="29"/>
  <c r="E20" i="29"/>
  <c r="C20" i="29"/>
  <c r="K19" i="29"/>
  <c r="E19" i="29"/>
  <c r="C19" i="29"/>
  <c r="K18" i="29"/>
  <c r="K17" i="29"/>
  <c r="K16" i="29"/>
  <c r="K15" i="29"/>
  <c r="V26" i="29" l="1"/>
  <c r="V30" i="29"/>
  <c r="V34" i="29"/>
  <c r="V38" i="29"/>
  <c r="V42" i="29"/>
  <c r="V46" i="29"/>
  <c r="V50" i="29"/>
  <c r="V54" i="29"/>
  <c r="V58" i="29"/>
  <c r="V62" i="29"/>
  <c r="V66" i="29"/>
  <c r="V70" i="29"/>
  <c r="V74" i="29"/>
  <c r="V78" i="29"/>
  <c r="V82" i="29"/>
  <c r="V90" i="29"/>
  <c r="V94" i="29"/>
  <c r="V98" i="29"/>
  <c r="V102" i="29"/>
  <c r="V106" i="29"/>
  <c r="V21" i="29"/>
  <c r="V33" i="29"/>
  <c r="V49" i="29"/>
  <c r="V61" i="29"/>
  <c r="V73" i="29"/>
  <c r="V85" i="29"/>
  <c r="V97" i="29"/>
  <c r="V15" i="29"/>
  <c r="V19" i="29"/>
  <c r="V23" i="29"/>
  <c r="V27" i="29"/>
  <c r="V31" i="29"/>
  <c r="V35" i="29"/>
  <c r="V39" i="29"/>
  <c r="V43" i="29"/>
  <c r="V47" i="29"/>
  <c r="V51" i="29"/>
  <c r="V59" i="29"/>
  <c r="V63" i="29"/>
  <c r="V67" i="29"/>
  <c r="V71" i="29"/>
  <c r="V75" i="29"/>
  <c r="V79" i="29"/>
  <c r="V83" i="29"/>
  <c r="V91" i="29"/>
  <c r="V95" i="29"/>
  <c r="V103" i="29"/>
  <c r="V25" i="29"/>
  <c r="V29" i="29"/>
  <c r="V37" i="29"/>
  <c r="V45" i="29"/>
  <c r="V57" i="29"/>
  <c r="V69" i="29"/>
  <c r="V93" i="29"/>
  <c r="V101" i="29"/>
  <c r="V16" i="29"/>
  <c r="V24" i="29"/>
  <c r="V28" i="29"/>
  <c r="V32" i="29"/>
  <c r="V36" i="29"/>
  <c r="V40" i="29"/>
  <c r="V44" i="29"/>
  <c r="V48" i="29"/>
  <c r="V52" i="29"/>
  <c r="V56" i="29"/>
  <c r="V60" i="29"/>
  <c r="V64" i="29"/>
  <c r="V68" i="29"/>
  <c r="V72" i="29"/>
  <c r="V76" i="29"/>
  <c r="V80" i="29"/>
  <c r="V92" i="29"/>
  <c r="V96" i="29"/>
  <c r="V100" i="29"/>
  <c r="V104" i="29"/>
  <c r="V17" i="29"/>
  <c r="V53" i="29"/>
  <c r="V65" i="29"/>
  <c r="V77" i="29"/>
  <c r="V89" i="29"/>
  <c r="V105" i="29"/>
  <c r="V99" i="29"/>
  <c r="V87" i="29"/>
  <c r="V55" i="29"/>
  <c r="V88" i="29"/>
  <c r="V18" i="29"/>
  <c r="V86" i="29"/>
  <c r="V81" i="29"/>
  <c r="V22" i="29"/>
  <c r="V84" i="29"/>
  <c r="V41" i="29"/>
  <c r="V20" i="29"/>
  <c r="O48" i="24" l="1"/>
  <c r="O49" i="24"/>
  <c r="O50" i="24"/>
  <c r="O51" i="24"/>
  <c r="O52" i="24"/>
  <c r="O53" i="24"/>
  <c r="O54" i="24"/>
  <c r="O55" i="24"/>
  <c r="O56" i="24"/>
  <c r="O57" i="24"/>
  <c r="O58" i="24"/>
  <c r="O59" i="24"/>
  <c r="O60" i="24"/>
  <c r="O61" i="24"/>
  <c r="O62" i="24"/>
  <c r="O63" i="24"/>
  <c r="O64" i="24"/>
  <c r="O65" i="24"/>
  <c r="O66" i="24"/>
  <c r="O67" i="24"/>
  <c r="E7" i="28" l="1"/>
  <c r="E8" i="28"/>
  <c r="E9" i="28"/>
  <c r="E10" i="28"/>
  <c r="E11" i="28"/>
  <c r="E12" i="28"/>
  <c r="E13" i="28"/>
  <c r="E14" i="28"/>
  <c r="E15" i="28"/>
  <c r="E16" i="28"/>
  <c r="E17" i="28"/>
  <c r="E18" i="28"/>
  <c r="E19" i="28"/>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E50" i="28"/>
  <c r="E51" i="28"/>
  <c r="E52" i="28"/>
  <c r="E53" i="28"/>
  <c r="E54" i="28"/>
  <c r="E55" i="28"/>
  <c r="E56" i="28"/>
  <c r="E5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E90" i="28"/>
  <c r="E91" i="28"/>
  <c r="E92" i="28"/>
  <c r="E93" i="28"/>
  <c r="E6"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54" i="28"/>
  <c r="U3" i="28" l="1"/>
  <c r="U11" i="28"/>
  <c r="U19" i="28"/>
  <c r="U27" i="28"/>
  <c r="U35" i="28"/>
  <c r="U43" i="28"/>
  <c r="U51" i="28"/>
  <c r="U59" i="28"/>
  <c r="U67" i="28"/>
  <c r="U75" i="28"/>
  <c r="U83" i="28"/>
  <c r="U91" i="28"/>
  <c r="U4" i="28"/>
  <c r="U28" i="28"/>
  <c r="U36" i="28"/>
  <c r="U44" i="28"/>
  <c r="U52" i="28"/>
  <c r="U60" i="28"/>
  <c r="U68" i="28"/>
  <c r="U76" i="28"/>
  <c r="U84" i="28"/>
  <c r="U92" i="28"/>
  <c r="U6" i="28"/>
  <c r="U14" i="28"/>
  <c r="U22" i="28"/>
  <c r="U30" i="28"/>
  <c r="U38" i="28"/>
  <c r="U46" i="28"/>
  <c r="U54" i="28"/>
  <c r="U62" i="28"/>
  <c r="U70" i="28"/>
  <c r="U78" i="28"/>
  <c r="U86" i="28"/>
  <c r="U8" i="28"/>
  <c r="U24" i="28"/>
  <c r="U40" i="28"/>
  <c r="U56" i="28"/>
  <c r="U72" i="28"/>
  <c r="U88" i="28"/>
  <c r="U20" i="28"/>
  <c r="U5" i="28"/>
  <c r="U37" i="28"/>
  <c r="U7" i="28"/>
  <c r="U15" i="28"/>
  <c r="U23" i="28"/>
  <c r="U31" i="28"/>
  <c r="U39" i="28"/>
  <c r="U47" i="28"/>
  <c r="U55" i="28"/>
  <c r="U63" i="28"/>
  <c r="U71" i="28"/>
  <c r="U79" i="28"/>
  <c r="U87" i="28"/>
  <c r="U16" i="28"/>
  <c r="U32" i="28"/>
  <c r="U48" i="28"/>
  <c r="U64" i="28"/>
  <c r="U80" i="28"/>
  <c r="U9" i="28"/>
  <c r="U17" i="28"/>
  <c r="U25" i="28"/>
  <c r="U33" i="28"/>
  <c r="U41" i="28"/>
  <c r="U49" i="28"/>
  <c r="U57" i="28"/>
  <c r="U65" i="28"/>
  <c r="U73" i="28"/>
  <c r="U81" i="28"/>
  <c r="U89" i="28"/>
  <c r="U2" i="28"/>
  <c r="U10" i="28"/>
  <c r="U18" i="28"/>
  <c r="U26" i="28"/>
  <c r="U34" i="28"/>
  <c r="U42" i="28"/>
  <c r="U50" i="28"/>
  <c r="U58" i="28"/>
  <c r="U66" i="28"/>
  <c r="U74" i="28"/>
  <c r="U82" i="28"/>
  <c r="U90" i="28"/>
  <c r="U12" i="28"/>
  <c r="U13" i="28"/>
  <c r="U29" i="28"/>
  <c r="U53" i="28"/>
  <c r="U61" i="28"/>
  <c r="U69" i="28"/>
  <c r="U77" i="28"/>
  <c r="U85" i="28"/>
  <c r="U93" i="28"/>
  <c r="U21" i="28"/>
  <c r="U45" i="28"/>
  <c r="I129" i="29" l="1"/>
  <c r="M129" i="29" s="1"/>
  <c r="I238" i="29"/>
  <c r="M238" i="29" s="1"/>
  <c r="I15" i="29"/>
  <c r="M15" i="29" s="1"/>
  <c r="I2" i="28"/>
  <c r="F42" i="24"/>
  <c r="E42" i="24"/>
  <c r="D42" i="24"/>
  <c r="C42" i="24"/>
  <c r="B42" i="24"/>
  <c r="A42" i="24"/>
  <c r="F41" i="24"/>
  <c r="E41" i="24"/>
  <c r="D41" i="24"/>
  <c r="C41" i="24"/>
  <c r="B41" i="24"/>
  <c r="A41" i="24"/>
  <c r="F40" i="24"/>
  <c r="E40" i="24"/>
  <c r="D40" i="24"/>
  <c r="C40" i="24"/>
  <c r="B40" i="24"/>
  <c r="A40" i="24"/>
  <c r="F39" i="24"/>
  <c r="E39" i="24"/>
  <c r="D39" i="24"/>
  <c r="C39" i="24"/>
  <c r="B39" i="24"/>
  <c r="A39" i="24"/>
  <c r="F38" i="24"/>
  <c r="E38" i="24"/>
  <c r="D38" i="24"/>
  <c r="C38" i="24"/>
  <c r="B38" i="24"/>
  <c r="A38" i="24"/>
  <c r="F37" i="24"/>
  <c r="E37" i="24"/>
  <c r="D37" i="24"/>
  <c r="C37" i="24"/>
  <c r="B37" i="24"/>
  <c r="A37" i="24"/>
  <c r="F36" i="24"/>
  <c r="E36" i="24"/>
  <c r="D36" i="24"/>
  <c r="C36" i="24"/>
  <c r="B36" i="24"/>
  <c r="A36" i="24"/>
  <c r="F35" i="24"/>
  <c r="E35" i="24"/>
  <c r="D35" i="24"/>
  <c r="C35" i="24"/>
  <c r="B35" i="24"/>
  <c r="A35" i="24"/>
  <c r="F34" i="24"/>
  <c r="E34" i="24"/>
  <c r="D34" i="24"/>
  <c r="C34" i="24"/>
  <c r="B34" i="24"/>
  <c r="A34" i="24"/>
  <c r="F33" i="24"/>
  <c r="E33" i="24"/>
  <c r="D33" i="24"/>
  <c r="C33" i="24"/>
  <c r="B33" i="24"/>
  <c r="A33" i="24"/>
  <c r="F32" i="24"/>
  <c r="E32" i="24"/>
  <c r="D32" i="24"/>
  <c r="C32" i="24"/>
  <c r="B32" i="24"/>
  <c r="A32" i="24"/>
  <c r="F31" i="24"/>
  <c r="E31" i="24"/>
  <c r="D31" i="24"/>
  <c r="C31" i="24"/>
  <c r="B31" i="24"/>
  <c r="A31" i="24"/>
  <c r="F30" i="24"/>
  <c r="E30" i="24"/>
  <c r="D30" i="24"/>
  <c r="C30" i="24"/>
  <c r="B30" i="24"/>
  <c r="A30" i="24"/>
  <c r="F29" i="24"/>
  <c r="E29" i="24"/>
  <c r="D29" i="24"/>
  <c r="C29" i="24"/>
  <c r="B29" i="24"/>
  <c r="A29" i="24"/>
  <c r="F28" i="24"/>
  <c r="E28" i="24"/>
  <c r="D28" i="24"/>
  <c r="C28" i="24"/>
  <c r="B28" i="24"/>
  <c r="A28" i="24"/>
  <c r="F27" i="24"/>
  <c r="E27" i="24"/>
  <c r="D27" i="24"/>
  <c r="C27" i="24"/>
  <c r="B27" i="24"/>
  <c r="A27" i="24"/>
  <c r="F26" i="24"/>
  <c r="E26" i="24"/>
  <c r="D26" i="24"/>
  <c r="C26" i="24"/>
  <c r="B26" i="24"/>
  <c r="A26" i="24"/>
  <c r="F25" i="24"/>
  <c r="E25" i="24"/>
  <c r="D25" i="24"/>
  <c r="C25" i="24"/>
  <c r="B25" i="24"/>
  <c r="M2" i="28" l="1"/>
  <c r="N2" i="28" s="1"/>
  <c r="I239" i="29"/>
  <c r="M239" i="29" s="1"/>
  <c r="N239" i="29" s="1"/>
  <c r="N238" i="29"/>
  <c r="N129" i="29"/>
  <c r="I130" i="29"/>
  <c r="M130" i="29" s="1"/>
  <c r="N130" i="29" s="1"/>
  <c r="H29" i="24"/>
  <c r="I3" i="28"/>
  <c r="M3" i="28" s="1"/>
  <c r="I16" i="29"/>
  <c r="M16" i="29" s="1"/>
  <c r="N15" i="29"/>
  <c r="H28" i="24"/>
  <c r="H33" i="24"/>
  <c r="H37" i="24"/>
  <c r="H41" i="24"/>
  <c r="H26" i="24"/>
  <c r="H32" i="24"/>
  <c r="H36" i="24"/>
  <c r="H40" i="24"/>
  <c r="H27" i="24"/>
  <c r="H30" i="24"/>
  <c r="H34" i="24"/>
  <c r="H38" i="24"/>
  <c r="H42" i="24"/>
  <c r="H31" i="24"/>
  <c r="H35" i="24"/>
  <c r="H39" i="24"/>
  <c r="I4" i="28" l="1"/>
  <c r="M4" i="28" s="1"/>
  <c r="I131" i="29"/>
  <c r="M131" i="29" s="1"/>
  <c r="N131" i="29" s="1"/>
  <c r="I240" i="29"/>
  <c r="M240" i="29" s="1"/>
  <c r="N240" i="29" s="1"/>
  <c r="I17" i="29"/>
  <c r="M17" i="29" s="1"/>
  <c r="N16" i="29"/>
  <c r="I5" i="28"/>
  <c r="M5" i="28" s="1"/>
  <c r="N3" i="28"/>
  <c r="T3" i="7"/>
  <c r="U3" i="7" s="1"/>
  <c r="V3" i="7" s="1"/>
  <c r="W3" i="7" s="1"/>
  <c r="X3" i="7" s="1"/>
  <c r="Y3" i="7" s="1"/>
  <c r="Z3" i="7" s="1"/>
  <c r="M3" i="7"/>
  <c r="L3" i="7" s="1"/>
  <c r="K3" i="7" s="1"/>
  <c r="J3" i="7" s="1"/>
  <c r="I3" i="7" s="1"/>
  <c r="H3" i="7" s="1"/>
  <c r="G3" i="7" s="1"/>
  <c r="F3" i="7" s="1"/>
  <c r="E3" i="7" s="1"/>
  <c r="D3" i="7" s="1"/>
  <c r="C3" i="7" s="1"/>
  <c r="B3" i="7" s="1"/>
  <c r="Q2" i="28" l="1"/>
  <c r="R2" i="28" s="1"/>
  <c r="I241" i="29"/>
  <c r="M241" i="29" s="1"/>
  <c r="N241" i="29" s="1"/>
  <c r="I132" i="29"/>
  <c r="M132" i="29" s="1"/>
  <c r="N132" i="29" s="1"/>
  <c r="I18" i="29"/>
  <c r="M18" i="29" s="1"/>
  <c r="N17" i="29"/>
  <c r="I6" i="28"/>
  <c r="M6" i="28" s="1"/>
  <c r="N4" i="28"/>
  <c r="AA3" i="7"/>
  <c r="AA4" i="7" s="1"/>
  <c r="Z4" i="7"/>
  <c r="T4" i="7"/>
  <c r="N4" i="7"/>
  <c r="O4" i="7"/>
  <c r="P4" i="7"/>
  <c r="Q4" i="7"/>
  <c r="R4" i="7"/>
  <c r="S4" i="7"/>
  <c r="I133" i="29" l="1"/>
  <c r="M133" i="29" s="1"/>
  <c r="N133" i="29" s="1"/>
  <c r="I242" i="29"/>
  <c r="M242" i="29" s="1"/>
  <c r="N242" i="29" s="1"/>
  <c r="I19" i="29"/>
  <c r="M19" i="29" s="1"/>
  <c r="N18" i="29"/>
  <c r="I7" i="28"/>
  <c r="M7" i="28" s="1"/>
  <c r="N5" i="28"/>
  <c r="L4" i="7"/>
  <c r="M4" i="7"/>
  <c r="O2" i="4"/>
  <c r="P2" i="4"/>
  <c r="Q2" i="4"/>
  <c r="R2" i="4"/>
  <c r="S2" i="4"/>
  <c r="N2" i="4"/>
  <c r="C2" i="3"/>
  <c r="D2" i="3"/>
  <c r="E2" i="3"/>
  <c r="F2" i="3"/>
  <c r="G2" i="3"/>
  <c r="H2" i="3"/>
  <c r="I2" i="3"/>
  <c r="J2" i="3"/>
  <c r="K2" i="3"/>
  <c r="L2" i="3"/>
  <c r="M2" i="3"/>
  <c r="N2" i="3"/>
  <c r="O2" i="3"/>
  <c r="P2" i="3"/>
  <c r="Q2" i="3"/>
  <c r="R2" i="3"/>
  <c r="S2" i="3"/>
  <c r="B2" i="3"/>
  <c r="I243" i="29" l="1"/>
  <c r="M243" i="29" s="1"/>
  <c r="N243" i="29" s="1"/>
  <c r="I134" i="29"/>
  <c r="M134" i="29" s="1"/>
  <c r="N134" i="29" s="1"/>
  <c r="I20" i="29"/>
  <c r="M20" i="29" s="1"/>
  <c r="N19" i="29"/>
  <c r="I8" i="28"/>
  <c r="M8" i="28" s="1"/>
  <c r="N6" i="28"/>
  <c r="U4" i="7"/>
  <c r="K4" i="7"/>
  <c r="I135" i="29" l="1"/>
  <c r="M135" i="29" s="1"/>
  <c r="N135" i="29" s="1"/>
  <c r="I244" i="29"/>
  <c r="M244" i="29" s="1"/>
  <c r="N244" i="29" s="1"/>
  <c r="I21" i="29"/>
  <c r="M21" i="29" s="1"/>
  <c r="N20" i="29"/>
  <c r="I9" i="28"/>
  <c r="N7" i="28"/>
  <c r="J4" i="7"/>
  <c r="V4" i="7"/>
  <c r="I10" i="28" l="1"/>
  <c r="M10" i="28" s="1"/>
  <c r="M9" i="28"/>
  <c r="I245" i="29"/>
  <c r="M245" i="29" s="1"/>
  <c r="N245" i="29" s="1"/>
  <c r="I136" i="29"/>
  <c r="M136" i="29" s="1"/>
  <c r="N136" i="29" s="1"/>
  <c r="I22" i="29"/>
  <c r="M22" i="29" s="1"/>
  <c r="N21" i="29"/>
  <c r="N8" i="28"/>
  <c r="W4" i="7"/>
  <c r="I4" i="7"/>
  <c r="I137" i="29" l="1"/>
  <c r="M137" i="29" s="1"/>
  <c r="N137" i="29" s="1"/>
  <c r="I246" i="29"/>
  <c r="M246" i="29" s="1"/>
  <c r="N246" i="29" s="1"/>
  <c r="I23" i="29"/>
  <c r="M23" i="29" s="1"/>
  <c r="N22" i="29"/>
  <c r="I11" i="28"/>
  <c r="M11" i="28" s="1"/>
  <c r="N9" i="28"/>
  <c r="H4" i="7"/>
  <c r="Y4" i="7"/>
  <c r="X4" i="7"/>
  <c r="I247" i="29" l="1"/>
  <c r="M247" i="29" s="1"/>
  <c r="N247" i="29" s="1"/>
  <c r="I138" i="29"/>
  <c r="M138" i="29" s="1"/>
  <c r="N138" i="29" s="1"/>
  <c r="I24" i="29"/>
  <c r="M24" i="29" s="1"/>
  <c r="N23" i="29"/>
  <c r="I12" i="28"/>
  <c r="M12" i="28" s="1"/>
  <c r="N10" i="28"/>
  <c r="G4" i="7"/>
  <c r="I139" i="29" l="1"/>
  <c r="M139" i="29" s="1"/>
  <c r="N139" i="29" s="1"/>
  <c r="I248" i="29"/>
  <c r="M248" i="29" s="1"/>
  <c r="N248" i="29" s="1"/>
  <c r="I25" i="29"/>
  <c r="M25" i="29" s="1"/>
  <c r="N24" i="29"/>
  <c r="I13" i="28"/>
  <c r="M13" i="28" s="1"/>
  <c r="N11" i="28"/>
  <c r="F4" i="7"/>
  <c r="I140" i="29" l="1"/>
  <c r="M140" i="29" s="1"/>
  <c r="N140" i="29" s="1"/>
  <c r="I249" i="29"/>
  <c r="M249" i="29" s="1"/>
  <c r="N249" i="29" s="1"/>
  <c r="I26" i="29"/>
  <c r="M26" i="29" s="1"/>
  <c r="N25" i="29"/>
  <c r="I14" i="28"/>
  <c r="M14" i="28" s="1"/>
  <c r="N12" i="28"/>
  <c r="E4" i="7"/>
  <c r="I250" i="29" l="1"/>
  <c r="M250" i="29" s="1"/>
  <c r="N250" i="29" s="1"/>
  <c r="I141" i="29"/>
  <c r="M141" i="29" s="1"/>
  <c r="N141" i="29" s="1"/>
  <c r="I27" i="29"/>
  <c r="M27" i="29" s="1"/>
  <c r="N26" i="29"/>
  <c r="I15" i="28"/>
  <c r="M15" i="28" s="1"/>
  <c r="N13" i="28"/>
  <c r="D4" i="7"/>
  <c r="I142" i="29" l="1"/>
  <c r="M142" i="29" s="1"/>
  <c r="N142" i="29" s="1"/>
  <c r="I251" i="29"/>
  <c r="M251" i="29" s="1"/>
  <c r="N251" i="29" s="1"/>
  <c r="I28" i="29"/>
  <c r="M28" i="29" s="1"/>
  <c r="N27" i="29"/>
  <c r="I16" i="28"/>
  <c r="M16" i="28" s="1"/>
  <c r="N14" i="28"/>
  <c r="B4" i="7"/>
  <c r="C4" i="7"/>
  <c r="I252" i="29" l="1"/>
  <c r="M252" i="29" s="1"/>
  <c r="N252" i="29" s="1"/>
  <c r="I143" i="29"/>
  <c r="M143" i="29" s="1"/>
  <c r="N143" i="29" s="1"/>
  <c r="I29" i="29"/>
  <c r="M29" i="29" s="1"/>
  <c r="N28" i="29"/>
  <c r="I17" i="28"/>
  <c r="M17" i="28" s="1"/>
  <c r="N15" i="28"/>
  <c r="I144" i="29" l="1"/>
  <c r="M144" i="29" s="1"/>
  <c r="N144" i="29" s="1"/>
  <c r="I253" i="29"/>
  <c r="M253" i="29" s="1"/>
  <c r="N253" i="29" s="1"/>
  <c r="I30" i="29"/>
  <c r="M30" i="29" s="1"/>
  <c r="N29" i="29"/>
  <c r="I18" i="28"/>
  <c r="M18" i="28" s="1"/>
  <c r="N16" i="28"/>
  <c r="I254" i="29" l="1"/>
  <c r="I145" i="29"/>
  <c r="M145" i="29" s="1"/>
  <c r="N145" i="29" s="1"/>
  <c r="I31" i="29"/>
  <c r="M31" i="29" s="1"/>
  <c r="N30" i="29"/>
  <c r="I19" i="28"/>
  <c r="M19" i="28" s="1"/>
  <c r="N17" i="28"/>
  <c r="M254" i="29" l="1"/>
  <c r="N254" i="29" s="1"/>
  <c r="I255" i="29"/>
  <c r="I146" i="29"/>
  <c r="M146" i="29" s="1"/>
  <c r="N146" i="29" s="1"/>
  <c r="M255" i="29"/>
  <c r="N255" i="29" s="1"/>
  <c r="I32" i="29"/>
  <c r="M32" i="29" s="1"/>
  <c r="N31" i="29"/>
  <c r="I20" i="28"/>
  <c r="M20" i="28" s="1"/>
  <c r="N18" i="28"/>
  <c r="I147" i="29" l="1"/>
  <c r="M147" i="29" s="1"/>
  <c r="N147" i="29" s="1"/>
  <c r="I256" i="29"/>
  <c r="M256" i="29" s="1"/>
  <c r="N256" i="29" s="1"/>
  <c r="I33" i="29"/>
  <c r="M33" i="29" s="1"/>
  <c r="N32" i="29"/>
  <c r="I21" i="28"/>
  <c r="M21" i="28" s="1"/>
  <c r="N19" i="28"/>
  <c r="I257" i="29" l="1"/>
  <c r="M257" i="29" s="1"/>
  <c r="N257" i="29" s="1"/>
  <c r="I148" i="29"/>
  <c r="M148" i="29" s="1"/>
  <c r="N148" i="29" s="1"/>
  <c r="I34" i="29"/>
  <c r="M34" i="29" s="1"/>
  <c r="N33" i="29"/>
  <c r="I22" i="28"/>
  <c r="M22" i="28" s="1"/>
  <c r="N20" i="28"/>
  <c r="I149" i="29" l="1"/>
  <c r="M149" i="29" s="1"/>
  <c r="N149" i="29" s="1"/>
  <c r="I258" i="29"/>
  <c r="M258" i="29" s="1"/>
  <c r="N258" i="29" s="1"/>
  <c r="I35" i="29"/>
  <c r="M35" i="29" s="1"/>
  <c r="N34" i="29"/>
  <c r="I23" i="28"/>
  <c r="M23" i="28" s="1"/>
  <c r="N21" i="28"/>
  <c r="I259" i="29" l="1"/>
  <c r="M259" i="29" s="1"/>
  <c r="N259" i="29" s="1"/>
  <c r="I150" i="29"/>
  <c r="M150" i="29" s="1"/>
  <c r="N150" i="29" s="1"/>
  <c r="I36" i="29"/>
  <c r="M36" i="29" s="1"/>
  <c r="N35" i="29"/>
  <c r="I24" i="28"/>
  <c r="M24" i="28" s="1"/>
  <c r="N22" i="28"/>
  <c r="I151" i="29" l="1"/>
  <c r="M151" i="29" s="1"/>
  <c r="N151" i="29" s="1"/>
  <c r="I260" i="29"/>
  <c r="M260" i="29" s="1"/>
  <c r="N260" i="29" s="1"/>
  <c r="I37" i="29"/>
  <c r="M37" i="29" s="1"/>
  <c r="N36" i="29"/>
  <c r="I25" i="28"/>
  <c r="M25" i="28" s="1"/>
  <c r="N23" i="28"/>
  <c r="I261" i="29" l="1"/>
  <c r="M261" i="29" s="1"/>
  <c r="N261" i="29" s="1"/>
  <c r="I152" i="29"/>
  <c r="M152" i="29" s="1"/>
  <c r="N152" i="29" s="1"/>
  <c r="I38" i="29"/>
  <c r="M38" i="29" s="1"/>
  <c r="N37" i="29"/>
  <c r="I26" i="28"/>
  <c r="M26" i="28" s="1"/>
  <c r="N24" i="28"/>
  <c r="I153" i="29" l="1"/>
  <c r="M153" i="29" s="1"/>
  <c r="N153" i="29" s="1"/>
  <c r="I262" i="29"/>
  <c r="M262" i="29" s="1"/>
  <c r="N262" i="29" s="1"/>
  <c r="I39" i="29"/>
  <c r="M39" i="29" s="1"/>
  <c r="N38" i="29"/>
  <c r="I27" i="28"/>
  <c r="M27" i="28" s="1"/>
  <c r="N25" i="28"/>
  <c r="I263" i="29" l="1"/>
  <c r="M263" i="29" s="1"/>
  <c r="N263" i="29" s="1"/>
  <c r="I154" i="29"/>
  <c r="M154" i="29" s="1"/>
  <c r="N154" i="29" s="1"/>
  <c r="I40" i="29"/>
  <c r="M40" i="29" s="1"/>
  <c r="N39" i="29"/>
  <c r="I28" i="28"/>
  <c r="M28" i="28" s="1"/>
  <c r="N26" i="28"/>
  <c r="I155" i="29" l="1"/>
  <c r="M155" i="29" s="1"/>
  <c r="N155" i="29" s="1"/>
  <c r="I264" i="29"/>
  <c r="M264" i="29" s="1"/>
  <c r="N264" i="29" s="1"/>
  <c r="I41" i="29"/>
  <c r="M41" i="29" s="1"/>
  <c r="N40" i="29"/>
  <c r="I29" i="28"/>
  <c r="M29" i="28" s="1"/>
  <c r="N27" i="28"/>
  <c r="I265" i="29" l="1"/>
  <c r="M265" i="29" s="1"/>
  <c r="N265" i="29" s="1"/>
  <c r="I156" i="29"/>
  <c r="M156" i="29" s="1"/>
  <c r="N156" i="29" s="1"/>
  <c r="I42" i="29"/>
  <c r="M42" i="29" s="1"/>
  <c r="N41" i="29"/>
  <c r="I30" i="28"/>
  <c r="M30" i="28" s="1"/>
  <c r="N28" i="28"/>
  <c r="I157" i="29" l="1"/>
  <c r="M157" i="29" s="1"/>
  <c r="N157" i="29" s="1"/>
  <c r="I266" i="29"/>
  <c r="M266" i="29" s="1"/>
  <c r="N266" i="29" s="1"/>
  <c r="I43" i="29"/>
  <c r="M43" i="29" s="1"/>
  <c r="N42" i="29"/>
  <c r="I31" i="28"/>
  <c r="M31" i="28" s="1"/>
  <c r="N29" i="28"/>
  <c r="I158" i="29" l="1"/>
  <c r="M158" i="29" s="1"/>
  <c r="N158" i="29" s="1"/>
  <c r="I267" i="29"/>
  <c r="M267" i="29" s="1"/>
  <c r="N267" i="29" s="1"/>
  <c r="I44" i="29"/>
  <c r="M44" i="29" s="1"/>
  <c r="N43" i="29"/>
  <c r="I32" i="28"/>
  <c r="M32" i="28" s="1"/>
  <c r="N30" i="28"/>
  <c r="I268" i="29" l="1"/>
  <c r="M268" i="29" s="1"/>
  <c r="N268" i="29" s="1"/>
  <c r="I159" i="29"/>
  <c r="M159" i="29" s="1"/>
  <c r="N159" i="29" s="1"/>
  <c r="I45" i="29"/>
  <c r="M45" i="29" s="1"/>
  <c r="N44" i="29"/>
  <c r="I33" i="28"/>
  <c r="M33" i="28" s="1"/>
  <c r="N31" i="28"/>
  <c r="I160" i="29" l="1"/>
  <c r="M160" i="29" s="1"/>
  <c r="N160" i="29" s="1"/>
  <c r="I269" i="29"/>
  <c r="M269" i="29" s="1"/>
  <c r="N269" i="29" s="1"/>
  <c r="I46" i="29"/>
  <c r="M46" i="29" s="1"/>
  <c r="N45" i="29"/>
  <c r="I34" i="28"/>
  <c r="M34" i="28" s="1"/>
  <c r="N32" i="28"/>
  <c r="I270" i="29" l="1"/>
  <c r="M270" i="29" s="1"/>
  <c r="N270" i="29" s="1"/>
  <c r="I161" i="29"/>
  <c r="M161" i="29" s="1"/>
  <c r="N161" i="29" s="1"/>
  <c r="I47" i="29"/>
  <c r="M47" i="29" s="1"/>
  <c r="N46" i="29"/>
  <c r="I35" i="28"/>
  <c r="M35" i="28" s="1"/>
  <c r="N33" i="28"/>
  <c r="I162" i="29" l="1"/>
  <c r="M162" i="29" s="1"/>
  <c r="N162" i="29" s="1"/>
  <c r="I271" i="29"/>
  <c r="M271" i="29" s="1"/>
  <c r="N271" i="29" s="1"/>
  <c r="I48" i="29"/>
  <c r="M48" i="29" s="1"/>
  <c r="N47" i="29"/>
  <c r="I36" i="28"/>
  <c r="M36" i="28" s="1"/>
  <c r="N34" i="28"/>
  <c r="I163" i="29" l="1"/>
  <c r="M163" i="29" s="1"/>
  <c r="N163" i="29" s="1"/>
  <c r="I272" i="29"/>
  <c r="M272" i="29" s="1"/>
  <c r="N272" i="29" s="1"/>
  <c r="I49" i="29"/>
  <c r="M49" i="29" s="1"/>
  <c r="N48" i="29"/>
  <c r="I37" i="28"/>
  <c r="M37" i="28" s="1"/>
  <c r="N35" i="28"/>
  <c r="I273" i="29" l="1"/>
  <c r="M273" i="29" s="1"/>
  <c r="N273" i="29" s="1"/>
  <c r="I164" i="29"/>
  <c r="M164" i="29" s="1"/>
  <c r="N164" i="29" s="1"/>
  <c r="I50" i="29"/>
  <c r="M50" i="29" s="1"/>
  <c r="N49" i="29"/>
  <c r="I38" i="28"/>
  <c r="M38" i="28" s="1"/>
  <c r="N36" i="28"/>
  <c r="I165" i="29" l="1"/>
  <c r="M165" i="29" s="1"/>
  <c r="N165" i="29" s="1"/>
  <c r="I274" i="29"/>
  <c r="M274" i="29" s="1"/>
  <c r="N274" i="29" s="1"/>
  <c r="I51" i="29"/>
  <c r="M51" i="29" s="1"/>
  <c r="N50" i="29"/>
  <c r="I39" i="28"/>
  <c r="M39" i="28" s="1"/>
  <c r="N37" i="28"/>
  <c r="I275" i="29" l="1"/>
  <c r="M275" i="29" s="1"/>
  <c r="N275" i="29" s="1"/>
  <c r="I166" i="29"/>
  <c r="M166" i="29" s="1"/>
  <c r="N166" i="29" s="1"/>
  <c r="I52" i="29"/>
  <c r="M52" i="29" s="1"/>
  <c r="N51" i="29"/>
  <c r="I40" i="28"/>
  <c r="M40" i="28" s="1"/>
  <c r="N38" i="28"/>
  <c r="I167" i="29" l="1"/>
  <c r="M167" i="29" s="1"/>
  <c r="N167" i="29" s="1"/>
  <c r="I276" i="29"/>
  <c r="M276" i="29" s="1"/>
  <c r="N276" i="29" s="1"/>
  <c r="I53" i="29"/>
  <c r="M53" i="29" s="1"/>
  <c r="N52" i="29"/>
  <c r="I41" i="28"/>
  <c r="M41" i="28" s="1"/>
  <c r="N39" i="28"/>
  <c r="I277" i="29" l="1"/>
  <c r="M277" i="29" s="1"/>
  <c r="N277" i="29" s="1"/>
  <c r="I168" i="29"/>
  <c r="M168" i="29" s="1"/>
  <c r="N168" i="29" s="1"/>
  <c r="I54" i="29"/>
  <c r="M54" i="29" s="1"/>
  <c r="N53" i="29"/>
  <c r="I42" i="28"/>
  <c r="M42" i="28" s="1"/>
  <c r="N40" i="28"/>
  <c r="I169" i="29" l="1"/>
  <c r="M169" i="29" s="1"/>
  <c r="N169" i="29" s="1"/>
  <c r="I278" i="29"/>
  <c r="M278" i="29" s="1"/>
  <c r="N278" i="29" s="1"/>
  <c r="I55" i="29"/>
  <c r="M55" i="29" s="1"/>
  <c r="N54" i="29"/>
  <c r="I43" i="28"/>
  <c r="M43" i="28" s="1"/>
  <c r="N41" i="28"/>
  <c r="I279" i="29" l="1"/>
  <c r="M279" i="29" s="1"/>
  <c r="N279" i="29" s="1"/>
  <c r="I170" i="29"/>
  <c r="M170" i="29" s="1"/>
  <c r="N170" i="29" s="1"/>
  <c r="I56" i="29"/>
  <c r="M56" i="29" s="1"/>
  <c r="N55" i="29"/>
  <c r="I44" i="28"/>
  <c r="M44" i="28" s="1"/>
  <c r="N42" i="28"/>
  <c r="I171" i="29" l="1"/>
  <c r="M171" i="29" s="1"/>
  <c r="N171" i="29" s="1"/>
  <c r="I280" i="29"/>
  <c r="M280" i="29" s="1"/>
  <c r="N280" i="29" s="1"/>
  <c r="I57" i="29"/>
  <c r="M57" i="29" s="1"/>
  <c r="N56" i="29"/>
  <c r="I45" i="28"/>
  <c r="M45" i="28" s="1"/>
  <c r="N43" i="28"/>
  <c r="I281" i="29" l="1"/>
  <c r="M281" i="29" s="1"/>
  <c r="N281" i="29" s="1"/>
  <c r="I172" i="29"/>
  <c r="M172" i="29" s="1"/>
  <c r="N172" i="29" s="1"/>
  <c r="N57" i="29"/>
  <c r="I58" i="29"/>
  <c r="M58" i="29" s="1"/>
  <c r="I46" i="28"/>
  <c r="M46" i="28" s="1"/>
  <c r="N44" i="28"/>
  <c r="I173" i="29" l="1"/>
  <c r="M173" i="29" s="1"/>
  <c r="N173" i="29" s="1"/>
  <c r="I282" i="29"/>
  <c r="M282" i="29" s="1"/>
  <c r="N282" i="29" s="1"/>
  <c r="I59" i="29"/>
  <c r="M59" i="29" s="1"/>
  <c r="N58" i="29"/>
  <c r="I47" i="28"/>
  <c r="M47" i="28" s="1"/>
  <c r="N45" i="28"/>
  <c r="I283" i="29" l="1"/>
  <c r="M283" i="29" s="1"/>
  <c r="N283" i="29" s="1"/>
  <c r="I174" i="29"/>
  <c r="M174" i="29" s="1"/>
  <c r="N174" i="29" s="1"/>
  <c r="N59" i="29"/>
  <c r="I60" i="29"/>
  <c r="M60" i="29" s="1"/>
  <c r="I48" i="28"/>
  <c r="M48" i="28" s="1"/>
  <c r="N46" i="28"/>
  <c r="I175" i="29" l="1"/>
  <c r="M175" i="29" s="1"/>
  <c r="N175" i="29" s="1"/>
  <c r="I284" i="29"/>
  <c r="M284" i="29" s="1"/>
  <c r="N284" i="29" s="1"/>
  <c r="I61" i="29"/>
  <c r="M61" i="29" s="1"/>
  <c r="N60" i="29"/>
  <c r="I49" i="28"/>
  <c r="M49" i="28" s="1"/>
  <c r="N47" i="28"/>
  <c r="I285" i="29" l="1"/>
  <c r="M285" i="29" s="1"/>
  <c r="N285" i="29" s="1"/>
  <c r="I176" i="29"/>
  <c r="M176" i="29" s="1"/>
  <c r="N176" i="29" s="1"/>
  <c r="N61" i="29"/>
  <c r="I62" i="29"/>
  <c r="M62" i="29" s="1"/>
  <c r="I50" i="28"/>
  <c r="M50" i="28" s="1"/>
  <c r="N48" i="28"/>
  <c r="I177" i="29" l="1"/>
  <c r="M177" i="29" s="1"/>
  <c r="N177" i="29" s="1"/>
  <c r="I286" i="29"/>
  <c r="M286" i="29" s="1"/>
  <c r="N286" i="29" s="1"/>
  <c r="I63" i="29"/>
  <c r="M63" i="29" s="1"/>
  <c r="N62" i="29"/>
  <c r="I51" i="28"/>
  <c r="M51" i="28" s="1"/>
  <c r="N49" i="28"/>
  <c r="I287" i="29" l="1"/>
  <c r="M287" i="29" s="1"/>
  <c r="N287" i="29" s="1"/>
  <c r="I178" i="29"/>
  <c r="M178" i="29" s="1"/>
  <c r="N178" i="29" s="1"/>
  <c r="N63" i="29"/>
  <c r="I64" i="29"/>
  <c r="M64" i="29" s="1"/>
  <c r="I52" i="28"/>
  <c r="M52" i="28" s="1"/>
  <c r="N50" i="28"/>
  <c r="I179" i="29" l="1"/>
  <c r="M179" i="29" s="1"/>
  <c r="N179" i="29" s="1"/>
  <c r="I288" i="29"/>
  <c r="M288" i="29" s="1"/>
  <c r="N288" i="29" s="1"/>
  <c r="I65" i="29"/>
  <c r="M65" i="29" s="1"/>
  <c r="N64" i="29"/>
  <c r="I53" i="28"/>
  <c r="M53" i="28" s="1"/>
  <c r="N51" i="28"/>
  <c r="I289" i="29" l="1"/>
  <c r="M289" i="29" s="1"/>
  <c r="N289" i="29" s="1"/>
  <c r="I180" i="29"/>
  <c r="M180" i="29" s="1"/>
  <c r="N180" i="29" s="1"/>
  <c r="N65" i="29"/>
  <c r="I66" i="29"/>
  <c r="M66" i="29" s="1"/>
  <c r="I54" i="28"/>
  <c r="M54" i="28" s="1"/>
  <c r="N52" i="28"/>
  <c r="I181" i="29" l="1"/>
  <c r="M181" i="29" s="1"/>
  <c r="N181" i="29" s="1"/>
  <c r="I290" i="29"/>
  <c r="M290" i="29" s="1"/>
  <c r="N290" i="29" s="1"/>
  <c r="N66" i="29"/>
  <c r="I67" i="29"/>
  <c r="M67" i="29" s="1"/>
  <c r="I55" i="28"/>
  <c r="M55" i="28" s="1"/>
  <c r="N53" i="28"/>
  <c r="I291" i="29" l="1"/>
  <c r="M291" i="29" s="1"/>
  <c r="N291" i="29" s="1"/>
  <c r="I182" i="29"/>
  <c r="M182" i="29" s="1"/>
  <c r="N182" i="29" s="1"/>
  <c r="I68" i="29"/>
  <c r="M68" i="29" s="1"/>
  <c r="N67" i="29"/>
  <c r="I56" i="28"/>
  <c r="M56" i="28" s="1"/>
  <c r="N54" i="28"/>
  <c r="I183" i="29" l="1"/>
  <c r="M183" i="29" s="1"/>
  <c r="N183" i="29" s="1"/>
  <c r="I292" i="29"/>
  <c r="M292" i="29" s="1"/>
  <c r="N292" i="29" s="1"/>
  <c r="I69" i="29"/>
  <c r="M69" i="29" s="1"/>
  <c r="N68" i="29"/>
  <c r="I57" i="28"/>
  <c r="M57" i="28" s="1"/>
  <c r="N55" i="28"/>
  <c r="I293" i="29" l="1"/>
  <c r="M293" i="29" s="1"/>
  <c r="N293" i="29" s="1"/>
  <c r="I184" i="29"/>
  <c r="M184" i="29" s="1"/>
  <c r="N184" i="29" s="1"/>
  <c r="N69" i="29"/>
  <c r="I70" i="29"/>
  <c r="M70" i="29" s="1"/>
  <c r="I58" i="28"/>
  <c r="M58" i="28" s="1"/>
  <c r="N56" i="28"/>
  <c r="I185" i="29" l="1"/>
  <c r="M185" i="29" s="1"/>
  <c r="N185" i="29" s="1"/>
  <c r="I294" i="29"/>
  <c r="M294" i="29" s="1"/>
  <c r="N294" i="29" s="1"/>
  <c r="I71" i="29"/>
  <c r="M71" i="29" s="1"/>
  <c r="N70" i="29"/>
  <c r="I59" i="28"/>
  <c r="M59" i="28" s="1"/>
  <c r="N57" i="28"/>
  <c r="I295" i="29" l="1"/>
  <c r="M295" i="29" s="1"/>
  <c r="N295" i="29" s="1"/>
  <c r="I186" i="29"/>
  <c r="M186" i="29" s="1"/>
  <c r="N186" i="29" s="1"/>
  <c r="N71" i="29"/>
  <c r="I72" i="29"/>
  <c r="M72" i="29" s="1"/>
  <c r="I60" i="28"/>
  <c r="M60" i="28" s="1"/>
  <c r="N58" i="28"/>
  <c r="I187" i="29" l="1"/>
  <c r="M187" i="29" s="1"/>
  <c r="N187" i="29" s="1"/>
  <c r="I296" i="29"/>
  <c r="M296" i="29" s="1"/>
  <c r="N296" i="29" s="1"/>
  <c r="I73" i="29"/>
  <c r="M73" i="29" s="1"/>
  <c r="N72" i="29"/>
  <c r="I61" i="28"/>
  <c r="M61" i="28" s="1"/>
  <c r="N59" i="28"/>
  <c r="I297" i="29" l="1"/>
  <c r="M297" i="29" s="1"/>
  <c r="N297" i="29" s="1"/>
  <c r="I188" i="29"/>
  <c r="M188" i="29" s="1"/>
  <c r="N188" i="29" s="1"/>
  <c r="I74" i="29"/>
  <c r="M74" i="29" s="1"/>
  <c r="N73" i="29"/>
  <c r="I62" i="28"/>
  <c r="M62" i="28" s="1"/>
  <c r="N60" i="28"/>
  <c r="I189" i="29" l="1"/>
  <c r="M189" i="29" s="1"/>
  <c r="N189" i="29" s="1"/>
  <c r="I298" i="29"/>
  <c r="M298" i="29" s="1"/>
  <c r="N298" i="29" s="1"/>
  <c r="I75" i="29"/>
  <c r="M75" i="29" s="1"/>
  <c r="N74" i="29"/>
  <c r="I63" i="28"/>
  <c r="M63" i="28" s="1"/>
  <c r="N61" i="28"/>
  <c r="I299" i="29" l="1"/>
  <c r="M299" i="29" s="1"/>
  <c r="N299" i="29" s="1"/>
  <c r="I190" i="29"/>
  <c r="M190" i="29" s="1"/>
  <c r="N190" i="29" s="1"/>
  <c r="I76" i="29"/>
  <c r="M76" i="29" s="1"/>
  <c r="N75" i="29"/>
  <c r="I64" i="28"/>
  <c r="M64" i="28" s="1"/>
  <c r="N62" i="28"/>
  <c r="I191" i="29" l="1"/>
  <c r="M191" i="29" s="1"/>
  <c r="N191" i="29" s="1"/>
  <c r="I300" i="29"/>
  <c r="M300" i="29" s="1"/>
  <c r="N300" i="29" s="1"/>
  <c r="I77" i="29"/>
  <c r="M77" i="29" s="1"/>
  <c r="N76" i="29"/>
  <c r="I65" i="28"/>
  <c r="M65" i="28" s="1"/>
  <c r="N63" i="28"/>
  <c r="I301" i="29" l="1"/>
  <c r="M301" i="29" s="1"/>
  <c r="N301" i="29" s="1"/>
  <c r="I192" i="29"/>
  <c r="M192" i="29" s="1"/>
  <c r="N192" i="29" s="1"/>
  <c r="N77" i="29"/>
  <c r="I78" i="29"/>
  <c r="M78" i="29" s="1"/>
  <c r="I66" i="28"/>
  <c r="M66" i="28" s="1"/>
  <c r="N64" i="28"/>
  <c r="I193" i="29" l="1"/>
  <c r="M193" i="29" s="1"/>
  <c r="N193" i="29" s="1"/>
  <c r="I302" i="29"/>
  <c r="M302" i="29" s="1"/>
  <c r="N302" i="29" s="1"/>
  <c r="I79" i="29"/>
  <c r="M79" i="29" s="1"/>
  <c r="N78" i="29"/>
  <c r="I67" i="28"/>
  <c r="M67" i="28" s="1"/>
  <c r="N65" i="28"/>
  <c r="I303" i="29" l="1"/>
  <c r="M303" i="29" s="1"/>
  <c r="N303" i="29" s="1"/>
  <c r="I194" i="29"/>
  <c r="M194" i="29" s="1"/>
  <c r="N194" i="29" s="1"/>
  <c r="N79" i="29"/>
  <c r="I80" i="29"/>
  <c r="M80" i="29" s="1"/>
  <c r="I68" i="28"/>
  <c r="M68" i="28" s="1"/>
  <c r="N66" i="28"/>
  <c r="I195" i="29" l="1"/>
  <c r="M195" i="29" s="1"/>
  <c r="N195" i="29" s="1"/>
  <c r="I304" i="29"/>
  <c r="M304" i="29" s="1"/>
  <c r="N304" i="29" s="1"/>
  <c r="N80" i="29"/>
  <c r="I81" i="29"/>
  <c r="M81" i="29" s="1"/>
  <c r="I69" i="28"/>
  <c r="M69" i="28" s="1"/>
  <c r="N67" i="28"/>
  <c r="I305" i="29" l="1"/>
  <c r="M305" i="29" s="1"/>
  <c r="N305" i="29" s="1"/>
  <c r="I196" i="29"/>
  <c r="M196" i="29" s="1"/>
  <c r="N196" i="29" s="1"/>
  <c r="I82" i="29"/>
  <c r="M82" i="29" s="1"/>
  <c r="N81" i="29"/>
  <c r="I70" i="28"/>
  <c r="M70" i="28" s="1"/>
  <c r="N68" i="28"/>
  <c r="I197" i="29" l="1"/>
  <c r="M197" i="29" s="1"/>
  <c r="N197" i="29" s="1"/>
  <c r="I306" i="29"/>
  <c r="M306" i="29" s="1"/>
  <c r="N306" i="29" s="1"/>
  <c r="I83" i="29"/>
  <c r="M83" i="29" s="1"/>
  <c r="N82" i="29"/>
  <c r="I71" i="28"/>
  <c r="M71" i="28" s="1"/>
  <c r="N69" i="28"/>
  <c r="I307" i="29" l="1"/>
  <c r="M307" i="29" s="1"/>
  <c r="N307" i="29" s="1"/>
  <c r="I198" i="29"/>
  <c r="M198" i="29" s="1"/>
  <c r="N198" i="29" s="1"/>
  <c r="I84" i="29"/>
  <c r="M84" i="29" s="1"/>
  <c r="N83" i="29"/>
  <c r="I72" i="28"/>
  <c r="M72" i="28" s="1"/>
  <c r="N70" i="28"/>
  <c r="I199" i="29" l="1"/>
  <c r="M199" i="29" s="1"/>
  <c r="N199" i="29" s="1"/>
  <c r="I308" i="29"/>
  <c r="M308" i="29" s="1"/>
  <c r="N308" i="29" s="1"/>
  <c r="I85" i="29"/>
  <c r="M85" i="29" s="1"/>
  <c r="N84" i="29"/>
  <c r="I73" i="28"/>
  <c r="M73" i="28" s="1"/>
  <c r="N71" i="28"/>
  <c r="I309" i="29" l="1"/>
  <c r="M309" i="29" s="1"/>
  <c r="N309" i="29" s="1"/>
  <c r="I200" i="29"/>
  <c r="M200" i="29" s="1"/>
  <c r="N200" i="29" s="1"/>
  <c r="I86" i="29"/>
  <c r="M86" i="29" s="1"/>
  <c r="N85" i="29"/>
  <c r="I74" i="28"/>
  <c r="M74" i="28" s="1"/>
  <c r="N72" i="28"/>
  <c r="I201" i="29" l="1"/>
  <c r="M201" i="29" s="1"/>
  <c r="N201" i="29" s="1"/>
  <c r="I310" i="29"/>
  <c r="M310" i="29" s="1"/>
  <c r="N310" i="29" s="1"/>
  <c r="N86" i="29"/>
  <c r="I87" i="29"/>
  <c r="M87" i="29" s="1"/>
  <c r="I75" i="28"/>
  <c r="M75" i="28" s="1"/>
  <c r="N73" i="28"/>
  <c r="I311" i="29" l="1"/>
  <c r="M311" i="29" s="1"/>
  <c r="N311" i="29" s="1"/>
  <c r="I202" i="29"/>
  <c r="M202" i="29" s="1"/>
  <c r="N202" i="29" s="1"/>
  <c r="I88" i="29"/>
  <c r="M88" i="29" s="1"/>
  <c r="N87" i="29"/>
  <c r="I76" i="28"/>
  <c r="M76" i="28" s="1"/>
  <c r="N74" i="28"/>
  <c r="I203" i="29" l="1"/>
  <c r="M203" i="29" s="1"/>
  <c r="N203" i="29" s="1"/>
  <c r="I312" i="29"/>
  <c r="M312" i="29" s="1"/>
  <c r="N312" i="29" s="1"/>
  <c r="N88" i="29"/>
  <c r="I89" i="29"/>
  <c r="M89" i="29" s="1"/>
  <c r="I77" i="28"/>
  <c r="M77" i="28" s="1"/>
  <c r="N75" i="28"/>
  <c r="I204" i="29" l="1"/>
  <c r="M204" i="29" s="1"/>
  <c r="N204" i="29" s="1"/>
  <c r="I313" i="29"/>
  <c r="M313" i="29" s="1"/>
  <c r="N313" i="29" s="1"/>
  <c r="N89" i="29"/>
  <c r="I90" i="29"/>
  <c r="M90" i="29" s="1"/>
  <c r="I78" i="28"/>
  <c r="M78" i="28" s="1"/>
  <c r="N76" i="28"/>
  <c r="I314" i="29" l="1"/>
  <c r="M314" i="29" s="1"/>
  <c r="N314" i="29" s="1"/>
  <c r="I205" i="29"/>
  <c r="M205" i="29" s="1"/>
  <c r="N205" i="29" s="1"/>
  <c r="N90" i="29"/>
  <c r="I91" i="29"/>
  <c r="M91" i="29" s="1"/>
  <c r="I79" i="28"/>
  <c r="M79" i="28" s="1"/>
  <c r="N77" i="28"/>
  <c r="I206" i="29" l="1"/>
  <c r="M206" i="29" s="1"/>
  <c r="N206" i="29" s="1"/>
  <c r="I315" i="29"/>
  <c r="M315" i="29" s="1"/>
  <c r="N315" i="29" s="1"/>
  <c r="N91" i="29"/>
  <c r="I92" i="29"/>
  <c r="M92" i="29" s="1"/>
  <c r="I80" i="28"/>
  <c r="M80" i="28" s="1"/>
  <c r="N78" i="28"/>
  <c r="I316" i="29" l="1"/>
  <c r="M316" i="29" s="1"/>
  <c r="N316" i="29" s="1"/>
  <c r="I207" i="29"/>
  <c r="M207" i="29" s="1"/>
  <c r="N207" i="29" s="1"/>
  <c r="I93" i="29"/>
  <c r="M93" i="29" s="1"/>
  <c r="N92" i="29"/>
  <c r="I81" i="28"/>
  <c r="M81" i="28" s="1"/>
  <c r="N79" i="28"/>
  <c r="I208" i="29" l="1"/>
  <c r="M208" i="29" s="1"/>
  <c r="N208" i="29" s="1"/>
  <c r="I317" i="29"/>
  <c r="M317" i="29" s="1"/>
  <c r="N317" i="29" s="1"/>
  <c r="N93" i="29"/>
  <c r="I94" i="29"/>
  <c r="M94" i="29" s="1"/>
  <c r="I82" i="28"/>
  <c r="M82" i="28" s="1"/>
  <c r="N80" i="28"/>
  <c r="I318" i="29" l="1"/>
  <c r="M318" i="29" s="1"/>
  <c r="N318" i="29" s="1"/>
  <c r="I209" i="29"/>
  <c r="M209" i="29" s="1"/>
  <c r="N209" i="29" s="1"/>
  <c r="N94" i="29"/>
  <c r="I95" i="29"/>
  <c r="M95" i="29" s="1"/>
  <c r="I83" i="28"/>
  <c r="M83" i="28" s="1"/>
  <c r="N81" i="28"/>
  <c r="I210" i="29" l="1"/>
  <c r="M210" i="29" s="1"/>
  <c r="N210" i="29" s="1"/>
  <c r="I319" i="29"/>
  <c r="M319" i="29" s="1"/>
  <c r="N319" i="29" s="1"/>
  <c r="I96" i="29"/>
  <c r="M96" i="29" s="1"/>
  <c r="N95" i="29"/>
  <c r="I84" i="28"/>
  <c r="M84" i="28" s="1"/>
  <c r="N82" i="28"/>
  <c r="I320" i="29" l="1"/>
  <c r="M320" i="29" s="1"/>
  <c r="N320" i="29" s="1"/>
  <c r="I211" i="29"/>
  <c r="M211" i="29" s="1"/>
  <c r="N211" i="29" s="1"/>
  <c r="N96" i="29"/>
  <c r="I97" i="29"/>
  <c r="M97" i="29" s="1"/>
  <c r="I85" i="28"/>
  <c r="M85" i="28" s="1"/>
  <c r="N83" i="28"/>
  <c r="I212" i="29" l="1"/>
  <c r="M212" i="29" s="1"/>
  <c r="N212" i="29" s="1"/>
  <c r="I321" i="29"/>
  <c r="M321" i="29" s="1"/>
  <c r="N321" i="29" s="1"/>
  <c r="I98" i="29"/>
  <c r="M98" i="29" s="1"/>
  <c r="N97" i="29"/>
  <c r="I86" i="28"/>
  <c r="M86" i="28" s="1"/>
  <c r="N84" i="28"/>
  <c r="I213" i="29" l="1"/>
  <c r="M213" i="29" s="1"/>
  <c r="N213" i="29" s="1"/>
  <c r="I322" i="29"/>
  <c r="M322" i="29" s="1"/>
  <c r="N322" i="29" s="1"/>
  <c r="I99" i="29"/>
  <c r="M99" i="29" s="1"/>
  <c r="N98" i="29"/>
  <c r="I87" i="28"/>
  <c r="M87" i="28" s="1"/>
  <c r="N85" i="28"/>
  <c r="I323" i="29" l="1"/>
  <c r="M323" i="29" s="1"/>
  <c r="N323" i="29" s="1"/>
  <c r="I214" i="29"/>
  <c r="M214" i="29" s="1"/>
  <c r="N214" i="29" s="1"/>
  <c r="N99" i="29"/>
  <c r="I100" i="29"/>
  <c r="M100" i="29" s="1"/>
  <c r="I88" i="28"/>
  <c r="M88" i="28" s="1"/>
  <c r="N86" i="28"/>
  <c r="I215" i="29" l="1"/>
  <c r="M215" i="29" s="1"/>
  <c r="N215" i="29" s="1"/>
  <c r="I324" i="29"/>
  <c r="M324" i="29" s="1"/>
  <c r="N324" i="29" s="1"/>
  <c r="N100" i="29"/>
  <c r="I101" i="29"/>
  <c r="M101" i="29" s="1"/>
  <c r="I89" i="28"/>
  <c r="M89" i="28" s="1"/>
  <c r="N87" i="28"/>
  <c r="I325" i="29" l="1"/>
  <c r="M325" i="29" s="1"/>
  <c r="N325" i="29" s="1"/>
  <c r="I216" i="29"/>
  <c r="N101" i="29"/>
  <c r="I102" i="29"/>
  <c r="M102" i="29" s="1"/>
  <c r="I90" i="28"/>
  <c r="M90" i="28" s="1"/>
  <c r="N88" i="28"/>
  <c r="M216" i="29" l="1"/>
  <c r="N216" i="29" s="1"/>
  <c r="I217" i="29"/>
  <c r="I326" i="29"/>
  <c r="M326" i="29" s="1"/>
  <c r="N326" i="29" s="1"/>
  <c r="N102" i="29"/>
  <c r="I103" i="29"/>
  <c r="M103" i="29" s="1"/>
  <c r="I91" i="28"/>
  <c r="M91" i="28" s="1"/>
  <c r="N89" i="28"/>
  <c r="M217" i="29" l="1"/>
  <c r="N217" i="29" s="1"/>
  <c r="I327" i="29"/>
  <c r="I218" i="29"/>
  <c r="N103" i="29"/>
  <c r="I104" i="29"/>
  <c r="M104" i="29" s="1"/>
  <c r="I92" i="28"/>
  <c r="M92" i="28" s="1"/>
  <c r="N90" i="28"/>
  <c r="M327" i="29" l="1"/>
  <c r="N327" i="29" s="1"/>
  <c r="M218" i="29"/>
  <c r="N218" i="29" s="1"/>
  <c r="I328" i="29"/>
  <c r="I219" i="29"/>
  <c r="N104" i="29"/>
  <c r="I105" i="29"/>
  <c r="M105" i="29" s="1"/>
  <c r="I93" i="28"/>
  <c r="N91" i="28"/>
  <c r="M328" i="29" l="1"/>
  <c r="N328" i="29" s="1"/>
  <c r="M93" i="28"/>
  <c r="I94" i="28"/>
  <c r="M219" i="29"/>
  <c r="N219" i="29" s="1"/>
  <c r="I329" i="29"/>
  <c r="I220" i="29"/>
  <c r="I221" i="29" s="1"/>
  <c r="N105" i="29"/>
  <c r="I106" i="29"/>
  <c r="M106" i="29" s="1"/>
  <c r="N106" i="29" s="1"/>
  <c r="N92" i="28"/>
  <c r="M329" i="29" l="1"/>
  <c r="N329" i="29" s="1"/>
  <c r="I222" i="29"/>
  <c r="M221" i="29"/>
  <c r="N221" i="29" s="1"/>
  <c r="M94" i="28"/>
  <c r="N94" i="28" s="1"/>
  <c r="I95" i="28"/>
  <c r="Q94" i="28"/>
  <c r="R94" i="28" s="1"/>
  <c r="M220" i="29"/>
  <c r="N220" i="29" s="1"/>
  <c r="N93" i="28"/>
  <c r="O238" i="29" a="1"/>
  <c r="O339" i="29" l="1"/>
  <c r="Q339" i="29" s="1"/>
  <c r="R339" i="29" s="1"/>
  <c r="U339" i="29" s="1"/>
  <c r="O323" i="29"/>
  <c r="Q323" i="29" s="1"/>
  <c r="R323" i="29" s="1"/>
  <c r="U323" i="29" s="1"/>
  <c r="O307" i="29"/>
  <c r="Q307" i="29" s="1"/>
  <c r="R307" i="29" s="1"/>
  <c r="U307" i="29" s="1"/>
  <c r="O291" i="29"/>
  <c r="Q291" i="29" s="1"/>
  <c r="R291" i="29" s="1"/>
  <c r="U291" i="29" s="1"/>
  <c r="O275" i="29"/>
  <c r="Q275" i="29" s="1"/>
  <c r="R275" i="29" s="1"/>
  <c r="U275" i="29" s="1"/>
  <c r="O259" i="29"/>
  <c r="Q259" i="29" s="1"/>
  <c r="R259" i="29" s="1"/>
  <c r="U259" i="29" s="1"/>
  <c r="O243" i="29"/>
  <c r="Q243" i="29" s="1"/>
  <c r="R243" i="29" s="1"/>
  <c r="U243" i="29" s="1"/>
  <c r="O330" i="29"/>
  <c r="Q330" i="29" s="1"/>
  <c r="R330" i="29" s="1"/>
  <c r="U330" i="29" s="1"/>
  <c r="O314" i="29"/>
  <c r="Q314" i="29" s="1"/>
  <c r="R314" i="29" s="1"/>
  <c r="U314" i="29" s="1"/>
  <c r="O298" i="29"/>
  <c r="Q298" i="29" s="1"/>
  <c r="R298" i="29" s="1"/>
  <c r="U298" i="29" s="1"/>
  <c r="O282" i="29"/>
  <c r="Q282" i="29" s="1"/>
  <c r="R282" i="29" s="1"/>
  <c r="U282" i="29" s="1"/>
  <c r="O266" i="29"/>
  <c r="Q266" i="29" s="1"/>
  <c r="R266" i="29" s="1"/>
  <c r="U266" i="29" s="1"/>
  <c r="O250" i="29"/>
  <c r="Q250" i="29" s="1"/>
  <c r="R250" i="29" s="1"/>
  <c r="U250" i="29" s="1"/>
  <c r="O341" i="29"/>
  <c r="Q341" i="29" s="1"/>
  <c r="R341" i="29" s="1"/>
  <c r="U341" i="29" s="1"/>
  <c r="O325" i="29"/>
  <c r="Q325" i="29" s="1"/>
  <c r="R325" i="29" s="1"/>
  <c r="U325" i="29" s="1"/>
  <c r="O309" i="29"/>
  <c r="Q309" i="29" s="1"/>
  <c r="R309" i="29" s="1"/>
  <c r="U309" i="29" s="1"/>
  <c r="O293" i="29"/>
  <c r="Q293" i="29" s="1"/>
  <c r="R293" i="29" s="1"/>
  <c r="U293" i="29" s="1"/>
  <c r="O277" i="29"/>
  <c r="Q277" i="29" s="1"/>
  <c r="R277" i="29" s="1"/>
  <c r="U277" i="29" s="1"/>
  <c r="O261" i="29"/>
  <c r="Q261" i="29" s="1"/>
  <c r="R261" i="29" s="1"/>
  <c r="U261" i="29" s="1"/>
  <c r="O245" i="29"/>
  <c r="Q245" i="29" s="1"/>
  <c r="R245" i="29" s="1"/>
  <c r="U245" i="29" s="1"/>
  <c r="O308" i="29"/>
  <c r="Q308" i="29" s="1"/>
  <c r="R308" i="29" s="1"/>
  <c r="U308" i="29" s="1"/>
  <c r="O244" i="29"/>
  <c r="Q244" i="29" s="1"/>
  <c r="R244" i="29" s="1"/>
  <c r="U244" i="29" s="1"/>
  <c r="O288" i="29"/>
  <c r="Q288" i="29" s="1"/>
  <c r="R288" i="29" s="1"/>
  <c r="U288" i="29" s="1"/>
  <c r="O332" i="29"/>
  <c r="Q332" i="29" s="1"/>
  <c r="R332" i="29" s="1"/>
  <c r="U332" i="29" s="1"/>
  <c r="O268" i="29"/>
  <c r="Q268" i="29" s="1"/>
  <c r="R268" i="29" s="1"/>
  <c r="U268" i="29" s="1"/>
  <c r="O264" i="29"/>
  <c r="Q264" i="29" s="1"/>
  <c r="R264" i="29" s="1"/>
  <c r="U264" i="29" s="1"/>
  <c r="O311" i="29"/>
  <c r="Q311" i="29" s="1"/>
  <c r="R311" i="29" s="1"/>
  <c r="U311" i="29" s="1"/>
  <c r="O263" i="29"/>
  <c r="Q263" i="29" s="1"/>
  <c r="R263" i="29" s="1"/>
  <c r="U263" i="29" s="1"/>
  <c r="O334" i="29"/>
  <c r="Q334" i="29" s="1"/>
  <c r="R334" i="29" s="1"/>
  <c r="U334" i="29" s="1"/>
  <c r="O302" i="29"/>
  <c r="Q302" i="29" s="1"/>
  <c r="R302" i="29" s="1"/>
  <c r="U302" i="29" s="1"/>
  <c r="O270" i="29"/>
  <c r="Q270" i="29" s="1"/>
  <c r="R270" i="29" s="1"/>
  <c r="U270" i="29" s="1"/>
  <c r="O238" i="29"/>
  <c r="Q238" i="29" s="1"/>
  <c r="R238" i="29" s="1"/>
  <c r="U238" i="29" s="1"/>
  <c r="O313" i="29"/>
  <c r="Q313" i="29" s="1"/>
  <c r="R313" i="29" s="1"/>
  <c r="U313" i="29" s="1"/>
  <c r="O265" i="29"/>
  <c r="Q265" i="29" s="1"/>
  <c r="R265" i="29" s="1"/>
  <c r="U265" i="29" s="1"/>
  <c r="O324" i="29"/>
  <c r="Q324" i="29" s="1"/>
  <c r="R324" i="29" s="1"/>
  <c r="U324" i="29" s="1"/>
  <c r="O304" i="29"/>
  <c r="Q304" i="29" s="1"/>
  <c r="R304" i="29" s="1"/>
  <c r="U304" i="29" s="1"/>
  <c r="O284" i="29"/>
  <c r="Q284" i="29" s="1"/>
  <c r="R284" i="29" s="1"/>
  <c r="U284" i="29" s="1"/>
  <c r="O296" i="29"/>
  <c r="Q296" i="29" s="1"/>
  <c r="R296" i="29" s="1"/>
  <c r="U296" i="29" s="1"/>
  <c r="O335" i="29"/>
  <c r="Q335" i="29" s="1"/>
  <c r="R335" i="29" s="1"/>
  <c r="U335" i="29" s="1"/>
  <c r="O319" i="29"/>
  <c r="Q319" i="29" s="1"/>
  <c r="R319" i="29" s="1"/>
  <c r="U319" i="29" s="1"/>
  <c r="O303" i="29"/>
  <c r="Q303" i="29" s="1"/>
  <c r="R303" i="29" s="1"/>
  <c r="U303" i="29" s="1"/>
  <c r="O287" i="29"/>
  <c r="Q287" i="29" s="1"/>
  <c r="R287" i="29" s="1"/>
  <c r="U287" i="29" s="1"/>
  <c r="O271" i="29"/>
  <c r="Q271" i="29" s="1"/>
  <c r="R271" i="29" s="1"/>
  <c r="U271" i="29" s="1"/>
  <c r="O255" i="29"/>
  <c r="Q255" i="29" s="1"/>
  <c r="R255" i="29" s="1"/>
  <c r="U255" i="29" s="1"/>
  <c r="O239" i="29"/>
  <c r="Q239" i="29" s="1"/>
  <c r="R239" i="29" s="1"/>
  <c r="U239" i="29" s="1"/>
  <c r="O326" i="29"/>
  <c r="Q326" i="29" s="1"/>
  <c r="R326" i="29" s="1"/>
  <c r="U326" i="29" s="1"/>
  <c r="O310" i="29"/>
  <c r="Q310" i="29" s="1"/>
  <c r="R310" i="29" s="1"/>
  <c r="U310" i="29" s="1"/>
  <c r="O294" i="29"/>
  <c r="Q294" i="29" s="1"/>
  <c r="R294" i="29" s="1"/>
  <c r="U294" i="29" s="1"/>
  <c r="O278" i="29"/>
  <c r="Q278" i="29" s="1"/>
  <c r="R278" i="29" s="1"/>
  <c r="U278" i="29" s="1"/>
  <c r="O262" i="29"/>
  <c r="Q262" i="29" s="1"/>
  <c r="R262" i="29" s="1"/>
  <c r="U262" i="29" s="1"/>
  <c r="O246" i="29"/>
  <c r="Q246" i="29" s="1"/>
  <c r="R246" i="29" s="1"/>
  <c r="U246" i="29" s="1"/>
  <c r="O337" i="29"/>
  <c r="Q337" i="29" s="1"/>
  <c r="R337" i="29" s="1"/>
  <c r="U337" i="29" s="1"/>
  <c r="O321" i="29"/>
  <c r="Q321" i="29" s="1"/>
  <c r="R321" i="29" s="1"/>
  <c r="U321" i="29" s="1"/>
  <c r="O305" i="29"/>
  <c r="Q305" i="29" s="1"/>
  <c r="R305" i="29" s="1"/>
  <c r="U305" i="29" s="1"/>
  <c r="O289" i="29"/>
  <c r="Q289" i="29" s="1"/>
  <c r="R289" i="29" s="1"/>
  <c r="U289" i="29" s="1"/>
  <c r="O273" i="29"/>
  <c r="Q273" i="29" s="1"/>
  <c r="R273" i="29" s="1"/>
  <c r="U273" i="29" s="1"/>
  <c r="O257" i="29"/>
  <c r="Q257" i="29" s="1"/>
  <c r="R257" i="29" s="1"/>
  <c r="U257" i="29" s="1"/>
  <c r="O241" i="29"/>
  <c r="Q241" i="29" s="1"/>
  <c r="R241" i="29" s="1"/>
  <c r="U241" i="29" s="1"/>
  <c r="O292" i="29"/>
  <c r="Q292" i="29" s="1"/>
  <c r="R292" i="29" s="1"/>
  <c r="U292" i="29" s="1"/>
  <c r="O336" i="29"/>
  <c r="Q336" i="29" s="1"/>
  <c r="R336" i="29" s="1"/>
  <c r="U336" i="29" s="1"/>
  <c r="O272" i="29"/>
  <c r="Q272" i="29" s="1"/>
  <c r="R272" i="29" s="1"/>
  <c r="U272" i="29" s="1"/>
  <c r="O316" i="29"/>
  <c r="Q316" i="29" s="1"/>
  <c r="R316" i="29" s="1"/>
  <c r="U316" i="29" s="1"/>
  <c r="O252" i="29"/>
  <c r="Q252" i="29" s="1"/>
  <c r="R252" i="29" s="1"/>
  <c r="U252" i="29" s="1"/>
  <c r="O312" i="29"/>
  <c r="Q312" i="29" s="1"/>
  <c r="R312" i="29" s="1"/>
  <c r="U312" i="29" s="1"/>
  <c r="O295" i="29"/>
  <c r="Q295" i="29" s="1"/>
  <c r="R295" i="29" s="1"/>
  <c r="U295" i="29" s="1"/>
  <c r="O297" i="29"/>
  <c r="Q297" i="29" s="1"/>
  <c r="R297" i="29" s="1"/>
  <c r="U297" i="29" s="1"/>
  <c r="O328" i="29"/>
  <c r="Q328" i="29" s="1"/>
  <c r="R328" i="29" s="1"/>
  <c r="U328" i="29" s="1"/>
  <c r="O331" i="29"/>
  <c r="Q331" i="29" s="1"/>
  <c r="R331" i="29" s="1"/>
  <c r="U331" i="29" s="1"/>
  <c r="O315" i="29"/>
  <c r="Q315" i="29" s="1"/>
  <c r="R315" i="29" s="1"/>
  <c r="U315" i="29" s="1"/>
  <c r="O299" i="29"/>
  <c r="Q299" i="29" s="1"/>
  <c r="R299" i="29" s="1"/>
  <c r="U299" i="29" s="1"/>
  <c r="O283" i="29"/>
  <c r="Q283" i="29" s="1"/>
  <c r="R283" i="29" s="1"/>
  <c r="U283" i="29" s="1"/>
  <c r="O267" i="29"/>
  <c r="Q267" i="29" s="1"/>
  <c r="R267" i="29" s="1"/>
  <c r="U267" i="29" s="1"/>
  <c r="O251" i="29"/>
  <c r="Q251" i="29" s="1"/>
  <c r="R251" i="29" s="1"/>
  <c r="U251" i="29" s="1"/>
  <c r="O338" i="29"/>
  <c r="Q338" i="29" s="1"/>
  <c r="R338" i="29" s="1"/>
  <c r="U338" i="29" s="1"/>
  <c r="O322" i="29"/>
  <c r="Q322" i="29" s="1"/>
  <c r="R322" i="29" s="1"/>
  <c r="U322" i="29" s="1"/>
  <c r="O306" i="29"/>
  <c r="Q306" i="29" s="1"/>
  <c r="R306" i="29" s="1"/>
  <c r="U306" i="29" s="1"/>
  <c r="O290" i="29"/>
  <c r="Q290" i="29" s="1"/>
  <c r="R290" i="29" s="1"/>
  <c r="U290" i="29" s="1"/>
  <c r="O274" i="29"/>
  <c r="Q274" i="29" s="1"/>
  <c r="R274" i="29" s="1"/>
  <c r="U274" i="29" s="1"/>
  <c r="O258" i="29"/>
  <c r="Q258" i="29" s="1"/>
  <c r="R258" i="29" s="1"/>
  <c r="U258" i="29" s="1"/>
  <c r="O242" i="29"/>
  <c r="Q242" i="29" s="1"/>
  <c r="R242" i="29" s="1"/>
  <c r="U242" i="29" s="1"/>
  <c r="O333" i="29"/>
  <c r="Q333" i="29" s="1"/>
  <c r="R333" i="29" s="1"/>
  <c r="U333" i="29" s="1"/>
  <c r="O317" i="29"/>
  <c r="Q317" i="29" s="1"/>
  <c r="R317" i="29" s="1"/>
  <c r="U317" i="29" s="1"/>
  <c r="O301" i="29"/>
  <c r="Q301" i="29" s="1"/>
  <c r="R301" i="29" s="1"/>
  <c r="U301" i="29" s="1"/>
  <c r="O285" i="29"/>
  <c r="Q285" i="29" s="1"/>
  <c r="R285" i="29" s="1"/>
  <c r="U285" i="29" s="1"/>
  <c r="O269" i="29"/>
  <c r="Q269" i="29" s="1"/>
  <c r="R269" i="29" s="1"/>
  <c r="U269" i="29" s="1"/>
  <c r="O253" i="29"/>
  <c r="Q253" i="29" s="1"/>
  <c r="R253" i="29" s="1"/>
  <c r="U253" i="29" s="1"/>
  <c r="O340" i="29"/>
  <c r="Q340" i="29" s="1"/>
  <c r="R340" i="29" s="1"/>
  <c r="U340" i="29" s="1"/>
  <c r="O276" i="29"/>
  <c r="Q276" i="29" s="1"/>
  <c r="R276" i="29" s="1"/>
  <c r="U276" i="29" s="1"/>
  <c r="O320" i="29"/>
  <c r="Q320" i="29" s="1"/>
  <c r="R320" i="29" s="1"/>
  <c r="U320" i="29" s="1"/>
  <c r="O256" i="29"/>
  <c r="Q256" i="29" s="1"/>
  <c r="R256" i="29" s="1"/>
  <c r="U256" i="29" s="1"/>
  <c r="O300" i="29"/>
  <c r="Q300" i="29" s="1"/>
  <c r="R300" i="29" s="1"/>
  <c r="U300" i="29" s="1"/>
  <c r="O280" i="29"/>
  <c r="Q280" i="29" s="1"/>
  <c r="R280" i="29" s="1"/>
  <c r="U280" i="29" s="1"/>
  <c r="O248" i="29"/>
  <c r="Q248" i="29" s="1"/>
  <c r="R248" i="29" s="1"/>
  <c r="U248" i="29" s="1"/>
  <c r="O327" i="29"/>
  <c r="Q327" i="29" s="1"/>
  <c r="R327" i="29" s="1"/>
  <c r="U327" i="29" s="1"/>
  <c r="O279" i="29"/>
  <c r="Q279" i="29" s="1"/>
  <c r="R279" i="29" s="1"/>
  <c r="U279" i="29" s="1"/>
  <c r="O247" i="29"/>
  <c r="Q247" i="29" s="1"/>
  <c r="R247" i="29" s="1"/>
  <c r="U247" i="29" s="1"/>
  <c r="O318" i="29"/>
  <c r="Q318" i="29" s="1"/>
  <c r="R318" i="29" s="1"/>
  <c r="U318" i="29" s="1"/>
  <c r="O286" i="29"/>
  <c r="Q286" i="29" s="1"/>
  <c r="R286" i="29" s="1"/>
  <c r="U286" i="29" s="1"/>
  <c r="O254" i="29"/>
  <c r="Q254" i="29" s="1"/>
  <c r="R254" i="29" s="1"/>
  <c r="U254" i="29" s="1"/>
  <c r="O329" i="29"/>
  <c r="Q329" i="29" s="1"/>
  <c r="R329" i="29" s="1"/>
  <c r="U329" i="29" s="1"/>
  <c r="O281" i="29"/>
  <c r="Q281" i="29" s="1"/>
  <c r="R281" i="29" s="1"/>
  <c r="U281" i="29" s="1"/>
  <c r="O249" i="29"/>
  <c r="Q249" i="29" s="1"/>
  <c r="R249" i="29" s="1"/>
  <c r="U249" i="29" s="1"/>
  <c r="O260" i="29"/>
  <c r="Q260" i="29" s="1"/>
  <c r="R260" i="29" s="1"/>
  <c r="U260" i="29" s="1"/>
  <c r="O240" i="29"/>
  <c r="Q240" i="29" s="1"/>
  <c r="R240" i="29" s="1"/>
  <c r="U240" i="29" s="1"/>
  <c r="I223" i="29"/>
  <c r="M222" i="29"/>
  <c r="N222" i="29" s="1"/>
  <c r="I96" i="28"/>
  <c r="M95" i="28"/>
  <c r="N95" i="28" s="1"/>
  <c r="Q95" i="28"/>
  <c r="R95" i="28" s="1"/>
  <c r="T95" i="28" s="1"/>
  <c r="T94" i="28"/>
  <c r="Q18" i="29"/>
  <c r="R18" i="29" s="1"/>
  <c r="U18" i="29" s="1"/>
  <c r="Q82" i="29"/>
  <c r="R82" i="29" s="1"/>
  <c r="U82" i="29" s="1"/>
  <c r="Q39" i="29"/>
  <c r="R39" i="29" s="1"/>
  <c r="U39" i="29" s="1"/>
  <c r="Q103" i="29"/>
  <c r="R103" i="29" s="1"/>
  <c r="U103" i="29" s="1"/>
  <c r="Q64" i="29"/>
  <c r="R64" i="29" s="1"/>
  <c r="U64" i="29" s="1"/>
  <c r="Q25" i="29"/>
  <c r="R25" i="29" s="1"/>
  <c r="U25" i="29" s="1"/>
  <c r="Q77" i="29"/>
  <c r="R77" i="29" s="1"/>
  <c r="U77" i="29" s="1"/>
  <c r="Q54" i="29"/>
  <c r="R54" i="29" s="1"/>
  <c r="U54" i="29" s="1"/>
  <c r="Q118" i="29"/>
  <c r="R118" i="29" s="1"/>
  <c r="Q75" i="29"/>
  <c r="R75" i="29" s="1"/>
  <c r="U75" i="29" s="1"/>
  <c r="Q36" i="29"/>
  <c r="R36" i="29" s="1"/>
  <c r="U36" i="29" s="1"/>
  <c r="Q100" i="29"/>
  <c r="R100" i="29" s="1"/>
  <c r="U100" i="29" s="1"/>
  <c r="Q26" i="29"/>
  <c r="R26" i="29" s="1"/>
  <c r="U26" i="29" s="1"/>
  <c r="Q90" i="29"/>
  <c r="R90" i="29" s="1"/>
  <c r="U90" i="29" s="1"/>
  <c r="Q47" i="29"/>
  <c r="R47" i="29" s="1"/>
  <c r="U47" i="29" s="1"/>
  <c r="Q111" i="29"/>
  <c r="R111" i="29" s="1"/>
  <c r="Q72" i="29"/>
  <c r="R72" i="29" s="1"/>
  <c r="U72" i="29" s="1"/>
  <c r="Q33" i="29"/>
  <c r="R33" i="29" s="1"/>
  <c r="U33" i="29" s="1"/>
  <c r="Q109" i="29"/>
  <c r="R109" i="29" s="1"/>
  <c r="Q62" i="29"/>
  <c r="R62" i="29" s="1"/>
  <c r="U62" i="29" s="1"/>
  <c r="Q19" i="29"/>
  <c r="R19" i="29" s="1"/>
  <c r="U19" i="29" s="1"/>
  <c r="Q21" i="29"/>
  <c r="R21" i="29" s="1"/>
  <c r="U21" i="29" s="1"/>
  <c r="Q101" i="29"/>
  <c r="R101" i="29" s="1"/>
  <c r="U101" i="29" s="1"/>
  <c r="Q37" i="29"/>
  <c r="R37" i="29" s="1"/>
  <c r="U37" i="29" s="1"/>
  <c r="Q83" i="29"/>
  <c r="R83" i="29" s="1"/>
  <c r="U83" i="29" s="1"/>
  <c r="Q114" i="29"/>
  <c r="R114" i="29" s="1"/>
  <c r="Q71" i="29"/>
  <c r="R71" i="29" s="1"/>
  <c r="U71" i="29" s="1"/>
  <c r="Q96" i="29"/>
  <c r="R96" i="29" s="1"/>
  <c r="U96" i="29" s="1"/>
  <c r="Q22" i="29"/>
  <c r="R22" i="29" s="1"/>
  <c r="U22" i="29" s="1"/>
  <c r="Q43" i="29"/>
  <c r="R43" i="29" s="1"/>
  <c r="U43" i="29" s="1"/>
  <c r="Q68" i="29"/>
  <c r="R68" i="29" s="1"/>
  <c r="U68" i="29" s="1"/>
  <c r="Q93" i="29"/>
  <c r="R93" i="29" s="1"/>
  <c r="U93" i="29" s="1"/>
  <c r="Q40" i="29"/>
  <c r="R40" i="29" s="1"/>
  <c r="U40" i="29" s="1"/>
  <c r="Q97" i="29"/>
  <c r="R97" i="29" s="1"/>
  <c r="U97" i="29" s="1"/>
  <c r="Q94" i="29"/>
  <c r="R94" i="29" s="1"/>
  <c r="U94" i="29" s="1"/>
  <c r="Q28" i="29"/>
  <c r="R28" i="29" s="1"/>
  <c r="U28" i="29" s="1"/>
  <c r="Q67" i="29"/>
  <c r="R67" i="29" s="1"/>
  <c r="U67" i="29" s="1"/>
  <c r="Q66" i="29"/>
  <c r="R66" i="29" s="1"/>
  <c r="U66" i="29" s="1"/>
  <c r="Q87" i="29"/>
  <c r="R87" i="29" s="1"/>
  <c r="U87" i="29" s="1"/>
  <c r="Q112" i="29"/>
  <c r="R112" i="29" s="1"/>
  <c r="Q38" i="29"/>
  <c r="R38" i="29" s="1"/>
  <c r="U38" i="29" s="1"/>
  <c r="Q59" i="29"/>
  <c r="R59" i="29" s="1"/>
  <c r="U59" i="29" s="1"/>
  <c r="Q84" i="29"/>
  <c r="R84" i="29" s="1"/>
  <c r="U84" i="29" s="1"/>
  <c r="Q113" i="29"/>
  <c r="R113" i="29" s="1"/>
  <c r="Q31" i="29"/>
  <c r="R31" i="29" s="1"/>
  <c r="U31" i="29" s="1"/>
  <c r="Q56" i="29"/>
  <c r="R56" i="29" s="1"/>
  <c r="U56" i="29" s="1"/>
  <c r="Q45" i="29"/>
  <c r="R45" i="29" s="1"/>
  <c r="U45" i="29" s="1"/>
  <c r="Q110" i="29"/>
  <c r="R110" i="29" s="1"/>
  <c r="Q89" i="29"/>
  <c r="R89" i="29" s="1"/>
  <c r="U89" i="29" s="1"/>
  <c r="Q92" i="29"/>
  <c r="R92" i="29" s="1"/>
  <c r="U92" i="29" s="1"/>
  <c r="Q34" i="29"/>
  <c r="R34" i="29" s="1"/>
  <c r="U34" i="29" s="1"/>
  <c r="Q98" i="29"/>
  <c r="R98" i="29" s="1"/>
  <c r="U98" i="29" s="1"/>
  <c r="Q55" i="29"/>
  <c r="R55" i="29" s="1"/>
  <c r="U55" i="29" s="1"/>
  <c r="Q16" i="29"/>
  <c r="R16" i="29" s="1"/>
  <c r="U16" i="29" s="1"/>
  <c r="Q80" i="29"/>
  <c r="R80" i="29" s="1"/>
  <c r="U80" i="29" s="1"/>
  <c r="Q41" i="29"/>
  <c r="R41" i="29" s="1"/>
  <c r="U41" i="29" s="1"/>
  <c r="Q81" i="29"/>
  <c r="R81" i="29" s="1"/>
  <c r="U81" i="29" s="1"/>
  <c r="Q70" i="29"/>
  <c r="R70" i="29" s="1"/>
  <c r="U70" i="29" s="1"/>
  <c r="Q27" i="29"/>
  <c r="R27" i="29" s="1"/>
  <c r="U27" i="29" s="1"/>
  <c r="Q91" i="29"/>
  <c r="R91" i="29" s="1"/>
  <c r="U91" i="29" s="1"/>
  <c r="Q52" i="29"/>
  <c r="R52" i="29" s="1"/>
  <c r="U52" i="29" s="1"/>
  <c r="Q116" i="29"/>
  <c r="R116" i="29" s="1"/>
  <c r="Q117" i="29"/>
  <c r="R117" i="29" s="1"/>
  <c r="Q42" i="29"/>
  <c r="R42" i="29" s="1"/>
  <c r="U42" i="29" s="1"/>
  <c r="Q106" i="29"/>
  <c r="R106" i="29" s="1"/>
  <c r="U106" i="29" s="1"/>
  <c r="Q63" i="29"/>
  <c r="R63" i="29" s="1"/>
  <c r="U63" i="29" s="1"/>
  <c r="Q24" i="29"/>
  <c r="R24" i="29" s="1"/>
  <c r="U24" i="29" s="1"/>
  <c r="Q88" i="29"/>
  <c r="R88" i="29" s="1"/>
  <c r="U88" i="29" s="1"/>
  <c r="Q73" i="29"/>
  <c r="R73" i="29" s="1"/>
  <c r="U73" i="29" s="1"/>
  <c r="Q69" i="29"/>
  <c r="R69" i="29" s="1"/>
  <c r="U69" i="29" s="1"/>
  <c r="Q78" i="29"/>
  <c r="R78" i="29" s="1"/>
  <c r="U78" i="29" s="1"/>
  <c r="Q35" i="29"/>
  <c r="Q61" i="29"/>
  <c r="R61" i="29" s="1"/>
  <c r="U61" i="29" s="1"/>
  <c r="Q51" i="29"/>
  <c r="R51" i="29" s="1"/>
  <c r="U51" i="29" s="1"/>
  <c r="Q49" i="29"/>
  <c r="R49" i="29" s="1"/>
  <c r="U49" i="29" s="1"/>
  <c r="Q44" i="29"/>
  <c r="R44" i="29" s="1"/>
  <c r="U44" i="29" s="1"/>
  <c r="Q50" i="29"/>
  <c r="R50" i="29" s="1"/>
  <c r="U50" i="29" s="1"/>
  <c r="Q32" i="29"/>
  <c r="R32" i="29" s="1"/>
  <c r="U32" i="29" s="1"/>
  <c r="Q105" i="29"/>
  <c r="R105" i="29" s="1"/>
  <c r="Q86" i="29"/>
  <c r="R86" i="29" s="1"/>
  <c r="U86" i="29" s="1"/>
  <c r="Q107" i="29"/>
  <c r="R107" i="29" s="1"/>
  <c r="Q29" i="29"/>
  <c r="R29" i="29" s="1"/>
  <c r="U29" i="29" s="1"/>
  <c r="Q58" i="29"/>
  <c r="R58" i="29" s="1"/>
  <c r="U58" i="29" s="1"/>
  <c r="Q79" i="29"/>
  <c r="R79" i="29" s="1"/>
  <c r="U79" i="29" s="1"/>
  <c r="Q104" i="29"/>
  <c r="R104" i="29" s="1"/>
  <c r="U104" i="29" s="1"/>
  <c r="Q30" i="29"/>
  <c r="R30" i="29" s="1"/>
  <c r="U30" i="29" s="1"/>
  <c r="Q99" i="29"/>
  <c r="R99" i="29" s="1"/>
  <c r="U99" i="29" s="1"/>
  <c r="Q115" i="29"/>
  <c r="R115" i="29" s="1"/>
  <c r="Q108" i="29"/>
  <c r="R108" i="29" s="1"/>
  <c r="Q23" i="29"/>
  <c r="R23" i="29" s="1"/>
  <c r="U23" i="29" s="1"/>
  <c r="Q48" i="29"/>
  <c r="R48" i="29" s="1"/>
  <c r="U48" i="29" s="1"/>
  <c r="Q85" i="29"/>
  <c r="R85" i="29" s="1"/>
  <c r="U85" i="29" s="1"/>
  <c r="Q102" i="29"/>
  <c r="R102" i="29" s="1"/>
  <c r="U102" i="29" s="1"/>
  <c r="Q20" i="29"/>
  <c r="R20" i="29" s="1"/>
  <c r="U20" i="29" s="1"/>
  <c r="Q57" i="29"/>
  <c r="R57" i="29" s="1"/>
  <c r="U57" i="29" s="1"/>
  <c r="Q74" i="29"/>
  <c r="R74" i="29" s="1"/>
  <c r="U74" i="29" s="1"/>
  <c r="Q95" i="29"/>
  <c r="R95" i="29" s="1"/>
  <c r="U95" i="29" s="1"/>
  <c r="Q17" i="29"/>
  <c r="R17" i="29" s="1"/>
  <c r="U17" i="29" s="1"/>
  <c r="Q46" i="29"/>
  <c r="R46" i="29" s="1"/>
  <c r="U46" i="29" s="1"/>
  <c r="Q60" i="29"/>
  <c r="R60" i="29" s="1"/>
  <c r="U60" i="29" s="1"/>
  <c r="Q76" i="29"/>
  <c r="R76" i="29" s="1"/>
  <c r="U76" i="29" s="1"/>
  <c r="Q53" i="29"/>
  <c r="R53" i="29" s="1"/>
  <c r="U53" i="29" s="1"/>
  <c r="Q51" i="28"/>
  <c r="R51" i="28" s="1"/>
  <c r="T51" i="28" s="1"/>
  <c r="Q93" i="28"/>
  <c r="R93" i="28" s="1"/>
  <c r="T93" i="28" s="1"/>
  <c r="Q29" i="28"/>
  <c r="R29" i="28" s="1"/>
  <c r="T29" i="28" s="1"/>
  <c r="Q92" i="28"/>
  <c r="Q12" i="28"/>
  <c r="R12" i="28" s="1"/>
  <c r="T12" i="28" s="1"/>
  <c r="Q71" i="28"/>
  <c r="R71" i="28" s="1"/>
  <c r="T71" i="28" s="1"/>
  <c r="Q23" i="28"/>
  <c r="R23" i="28" s="1"/>
  <c r="T23" i="28" s="1"/>
  <c r="Q82" i="28"/>
  <c r="R82" i="28" s="1"/>
  <c r="T82" i="28" s="1"/>
  <c r="Q50" i="28"/>
  <c r="R50" i="28" s="1"/>
  <c r="T50" i="28" s="1"/>
  <c r="Q17" i="28"/>
  <c r="R17" i="28" s="1"/>
  <c r="T17" i="28" s="1"/>
  <c r="Q36" i="28"/>
  <c r="R36" i="28" s="1"/>
  <c r="T36" i="28" s="1"/>
  <c r="Q79" i="28"/>
  <c r="R79" i="28" s="1"/>
  <c r="T79" i="28" s="1"/>
  <c r="Q47" i="28"/>
  <c r="R47" i="28" s="1"/>
  <c r="T47" i="28" s="1"/>
  <c r="Q15" i="28"/>
  <c r="R15" i="28" s="1"/>
  <c r="T15" i="28" s="1"/>
  <c r="Q58" i="28"/>
  <c r="R58" i="28" s="1"/>
  <c r="T58" i="28" s="1"/>
  <c r="Q42" i="28"/>
  <c r="R42" i="28" s="1"/>
  <c r="T42" i="28" s="1"/>
  <c r="Q73" i="28"/>
  <c r="Q25" i="28"/>
  <c r="R25" i="28" s="1"/>
  <c r="T25" i="28" s="1"/>
  <c r="Q9" i="28"/>
  <c r="R9" i="28" s="1"/>
  <c r="T9" i="28" s="1"/>
  <c r="Q88" i="28"/>
  <c r="R88" i="28" s="1"/>
  <c r="T88" i="28" s="1"/>
  <c r="Q68" i="28"/>
  <c r="R68" i="28" s="1"/>
  <c r="T68" i="28" s="1"/>
  <c r="Q75" i="28"/>
  <c r="R75" i="28" s="1"/>
  <c r="T75" i="28" s="1"/>
  <c r="Q11" i="28"/>
  <c r="R11" i="28" s="1"/>
  <c r="T11" i="28" s="1"/>
  <c r="Q54" i="28"/>
  <c r="R54" i="28" s="1"/>
  <c r="T54" i="28" s="1"/>
  <c r="Q38" i="28"/>
  <c r="R38" i="28" s="1"/>
  <c r="T38" i="28" s="1"/>
  <c r="Q85" i="28"/>
  <c r="R85" i="28" s="1"/>
  <c r="T85" i="28" s="1"/>
  <c r="Q21" i="28"/>
  <c r="R21" i="28" s="1"/>
  <c r="T21" i="28" s="1"/>
  <c r="Q39" i="28"/>
  <c r="R39" i="28" s="1"/>
  <c r="T39" i="28" s="1"/>
  <c r="Q7" i="28"/>
  <c r="R7" i="28" s="1"/>
  <c r="T7" i="28" s="1"/>
  <c r="Q65" i="28"/>
  <c r="R65" i="28" s="1"/>
  <c r="T65" i="28" s="1"/>
  <c r="Q28" i="28"/>
  <c r="R28" i="28" s="1"/>
  <c r="T28" i="28" s="1"/>
  <c r="Q72" i="28"/>
  <c r="R72" i="28" s="1"/>
  <c r="T72" i="28" s="1"/>
  <c r="Q65" i="29"/>
  <c r="R65" i="29" s="1"/>
  <c r="U65" i="29" s="1"/>
  <c r="Q37" i="28"/>
  <c r="R37" i="28" s="1"/>
  <c r="T37" i="28" s="1"/>
  <c r="Q53" i="28"/>
  <c r="R53" i="28" s="1"/>
  <c r="T53" i="28" s="1"/>
  <c r="Q30" i="28"/>
  <c r="R30" i="28" s="1"/>
  <c r="T30" i="28" s="1"/>
  <c r="Q46" i="28"/>
  <c r="R46" i="28" s="1"/>
  <c r="T46" i="28" s="1"/>
  <c r="Q78" i="28"/>
  <c r="R78" i="28" s="1"/>
  <c r="T78" i="28" s="1"/>
  <c r="Q52" i="28"/>
  <c r="R52" i="28" s="1"/>
  <c r="T52" i="28" s="1"/>
  <c r="Q84" i="28"/>
  <c r="R84" i="28" s="1"/>
  <c r="T84" i="28" s="1"/>
  <c r="Q55" i="28"/>
  <c r="R55" i="28" s="1"/>
  <c r="T55" i="28" s="1"/>
  <c r="Q8" i="28"/>
  <c r="R8" i="28" s="1"/>
  <c r="T8" i="28" s="1"/>
  <c r="Q40" i="28"/>
  <c r="R40" i="28" s="1"/>
  <c r="T40" i="28" s="1"/>
  <c r="Q41" i="28"/>
  <c r="R41" i="28" s="1"/>
  <c r="T41" i="28" s="1"/>
  <c r="Q57" i="28"/>
  <c r="R57" i="28" s="1"/>
  <c r="T57" i="28" s="1"/>
  <c r="Q18" i="28"/>
  <c r="R18" i="28" s="1"/>
  <c r="T18" i="28" s="1"/>
  <c r="Q34" i="28"/>
  <c r="R34" i="28" s="1"/>
  <c r="T34" i="28" s="1"/>
  <c r="Q66" i="28"/>
  <c r="R66" i="28" s="1"/>
  <c r="T66" i="28" s="1"/>
  <c r="Q87" i="28"/>
  <c r="R87" i="28" s="1"/>
  <c r="T87" i="28" s="1"/>
  <c r="Q43" i="28"/>
  <c r="R43" i="28" s="1"/>
  <c r="T43" i="28" s="1"/>
  <c r="Q59" i="28"/>
  <c r="R59" i="28" s="1"/>
  <c r="T59" i="28" s="1"/>
  <c r="Q16" i="28"/>
  <c r="R16" i="28" s="1"/>
  <c r="T16" i="28" s="1"/>
  <c r="Q48" i="28"/>
  <c r="R48" i="28" s="1"/>
  <c r="T48" i="28" s="1"/>
  <c r="Q80" i="28"/>
  <c r="R80" i="28" s="1"/>
  <c r="T80" i="28" s="1"/>
  <c r="Q13" i="28"/>
  <c r="R13" i="28" s="1"/>
  <c r="T13" i="28" s="1"/>
  <c r="Q45" i="28"/>
  <c r="R45" i="28" s="1"/>
  <c r="T45" i="28" s="1"/>
  <c r="Q61" i="28"/>
  <c r="R61" i="28" s="1"/>
  <c r="T61" i="28" s="1"/>
  <c r="Q77" i="28"/>
  <c r="R77" i="28" s="1"/>
  <c r="T77" i="28" s="1"/>
  <c r="Q6" i="28"/>
  <c r="R6" i="28" s="1"/>
  <c r="T6" i="28" s="1"/>
  <c r="Q22" i="28"/>
  <c r="R22" i="28" s="1"/>
  <c r="T22" i="28" s="1"/>
  <c r="Q70" i="28"/>
  <c r="R70" i="28" s="1"/>
  <c r="T70" i="28" s="1"/>
  <c r="Q86" i="28"/>
  <c r="R86" i="28" s="1"/>
  <c r="T86" i="28" s="1"/>
  <c r="Q4" i="28"/>
  <c r="R4" i="28" s="1"/>
  <c r="T4" i="28" s="1"/>
  <c r="Q63" i="28"/>
  <c r="R63" i="28" s="1"/>
  <c r="T63" i="28" s="1"/>
  <c r="Q24" i="28"/>
  <c r="R24" i="28" s="1"/>
  <c r="T24" i="28" s="1"/>
  <c r="Q56" i="28"/>
  <c r="R56" i="28" s="1"/>
  <c r="T56" i="28" s="1"/>
  <c r="Q33" i="28"/>
  <c r="R33" i="28" s="1"/>
  <c r="T33" i="28" s="1"/>
  <c r="Q49" i="28"/>
  <c r="R49" i="28" s="1"/>
  <c r="T49" i="28" s="1"/>
  <c r="Q81" i="28"/>
  <c r="R81" i="28" s="1"/>
  <c r="T81" i="28" s="1"/>
  <c r="Q10" i="28"/>
  <c r="R10" i="28" s="1"/>
  <c r="T10" i="28" s="1"/>
  <c r="Q26" i="28"/>
  <c r="R26" i="28" s="1"/>
  <c r="T26" i="28" s="1"/>
  <c r="Q74" i="28"/>
  <c r="R74" i="28" s="1"/>
  <c r="T74" i="28" s="1"/>
  <c r="Q90" i="28"/>
  <c r="R90" i="28" s="1"/>
  <c r="Q44" i="28"/>
  <c r="R44" i="28" s="1"/>
  <c r="T44" i="28" s="1"/>
  <c r="Q3" i="28"/>
  <c r="R3" i="28" s="1"/>
  <c r="T3" i="28" s="1"/>
  <c r="Q19" i="28"/>
  <c r="R19" i="28" s="1"/>
  <c r="T19" i="28" s="1"/>
  <c r="Q32" i="28"/>
  <c r="R32" i="28" s="1"/>
  <c r="T32" i="28" s="1"/>
  <c r="Q89" i="28"/>
  <c r="R89" i="28" s="1"/>
  <c r="T89" i="28" s="1"/>
  <c r="Q20" i="28"/>
  <c r="R20" i="28" s="1"/>
  <c r="T20" i="28" s="1"/>
  <c r="M223" i="29" l="1"/>
  <c r="N223" i="29" s="1"/>
  <c r="I224" i="29"/>
  <c r="M96" i="28"/>
  <c r="N96" i="28" s="1"/>
  <c r="I97" i="28"/>
  <c r="Q96" i="28"/>
  <c r="R96" i="28" s="1"/>
  <c r="R35" i="29"/>
  <c r="U35" i="29" s="1"/>
  <c r="T109" i="29"/>
  <c r="U109" i="29"/>
  <c r="T107" i="29"/>
  <c r="U107" i="29"/>
  <c r="T115" i="29"/>
  <c r="U115" i="29"/>
  <c r="T110" i="29"/>
  <c r="U110" i="29"/>
  <c r="T113" i="29"/>
  <c r="U113" i="29"/>
  <c r="T112" i="29"/>
  <c r="U112" i="29"/>
  <c r="T116" i="29"/>
  <c r="U116" i="29"/>
  <c r="T108" i="29"/>
  <c r="U108" i="29"/>
  <c r="T114" i="29"/>
  <c r="U114" i="29"/>
  <c r="T117" i="29"/>
  <c r="U117" i="29"/>
  <c r="T111" i="29"/>
  <c r="U111" i="29"/>
  <c r="T118" i="29"/>
  <c r="U118" i="29"/>
  <c r="Q15" i="29"/>
  <c r="R15" i="29" s="1"/>
  <c r="U15" i="29" s="1"/>
  <c r="U105" i="29"/>
  <c r="R92" i="28"/>
  <c r="T90" i="28"/>
  <c r="Q67" i="28"/>
  <c r="R67" i="28" s="1"/>
  <c r="T67" i="28" s="1"/>
  <c r="T2" i="28"/>
  <c r="Q91" i="28"/>
  <c r="R91" i="28" s="1"/>
  <c r="T91" i="28" s="1"/>
  <c r="Q60" i="28"/>
  <c r="R60" i="28" s="1"/>
  <c r="T60" i="28" s="1"/>
  <c r="Q31" i="28"/>
  <c r="R31" i="28" s="1"/>
  <c r="T31" i="28" s="1"/>
  <c r="Q14" i="28"/>
  <c r="R14" i="28" s="1"/>
  <c r="T14" i="28" s="1"/>
  <c r="Q69" i="28"/>
  <c r="R69" i="28" s="1"/>
  <c r="T69" i="28" s="1"/>
  <c r="Q35" i="28"/>
  <c r="R35" i="28" s="1"/>
  <c r="T35" i="28" s="1"/>
  <c r="Q76" i="28"/>
  <c r="R76" i="28" s="1"/>
  <c r="T76" i="28" s="1"/>
  <c r="Q5" i="28"/>
  <c r="R5" i="28" s="1"/>
  <c r="T5" i="28" s="1"/>
  <c r="Q64" i="28"/>
  <c r="R64" i="28" s="1"/>
  <c r="T64" i="28" s="1"/>
  <c r="Q27" i="28"/>
  <c r="R27" i="28" s="1"/>
  <c r="T27" i="28" s="1"/>
  <c r="Q83" i="28"/>
  <c r="R83" i="28" s="1"/>
  <c r="T83" i="28" s="1"/>
  <c r="Q62" i="28"/>
  <c r="R62" i="28" s="1"/>
  <c r="T62" i="28" s="1"/>
  <c r="R73" i="28"/>
  <c r="T73" i="28" s="1"/>
  <c r="I225" i="29" l="1"/>
  <c r="M224" i="29"/>
  <c r="N224" i="29" s="1"/>
  <c r="T96" i="28"/>
  <c r="I98" i="28"/>
  <c r="M97" i="28"/>
  <c r="N97" i="28" s="1"/>
  <c r="Q97" i="28"/>
  <c r="R97" i="28" s="1"/>
  <c r="B110" i="28" s="1"/>
  <c r="C110" i="28" s="1"/>
  <c r="D110" i="28" s="1"/>
  <c r="E110" i="28" s="1"/>
  <c r="T92" i="28"/>
  <c r="I226" i="29" l="1"/>
  <c r="M225" i="29"/>
  <c r="N225" i="29" s="1"/>
  <c r="T97" i="28"/>
  <c r="I99" i="28"/>
  <c r="M98" i="28"/>
  <c r="N98" i="28" s="1"/>
  <c r="Q98" i="28"/>
  <c r="R98" i="28" s="1"/>
  <c r="M226" i="29" l="1"/>
  <c r="N226" i="29" s="1"/>
  <c r="I227" i="29"/>
  <c r="T98" i="28"/>
  <c r="I100" i="28"/>
  <c r="M99" i="28"/>
  <c r="N99" i="28" s="1"/>
  <c r="Q99" i="28"/>
  <c r="R99" i="28" s="1"/>
  <c r="M227" i="29" l="1"/>
  <c r="N227" i="29" s="1"/>
  <c r="I228" i="29"/>
  <c r="T99" i="28"/>
  <c r="I101" i="28"/>
  <c r="M100" i="28"/>
  <c r="N100" i="28" s="1"/>
  <c r="Q100" i="28"/>
  <c r="R100" i="28" s="1"/>
  <c r="T100" i="28" s="1"/>
  <c r="I229" i="29" l="1"/>
  <c r="M228" i="29"/>
  <c r="N228" i="29" s="1"/>
  <c r="I102" i="28"/>
  <c r="M101" i="28"/>
  <c r="N101" i="28" s="1"/>
  <c r="Q101" i="28"/>
  <c r="R101" i="28" s="1"/>
  <c r="I230" i="29" l="1"/>
  <c r="M229" i="29"/>
  <c r="N229" i="29" s="1"/>
  <c r="T101" i="28"/>
  <c r="B111" i="28"/>
  <c r="C111" i="28" s="1"/>
  <c r="I103" i="28"/>
  <c r="M102" i="28"/>
  <c r="N102" i="28" s="1"/>
  <c r="Q102" i="28"/>
  <c r="R102" i="28" s="1"/>
  <c r="I231" i="29" l="1"/>
  <c r="M230" i="29"/>
  <c r="N230" i="29" s="1"/>
  <c r="T102" i="28"/>
  <c r="I104" i="28"/>
  <c r="M103" i="28"/>
  <c r="N103" i="28" s="1"/>
  <c r="Q103" i="28"/>
  <c r="R103" i="28" s="1"/>
  <c r="T103" i="28" s="1"/>
  <c r="M231" i="29" l="1"/>
  <c r="N231" i="29" s="1"/>
  <c r="I232" i="29"/>
  <c r="M232" i="29" s="1"/>
  <c r="N232" i="29" s="1"/>
  <c r="I105" i="28"/>
  <c r="M104" i="28"/>
  <c r="N104" i="28" s="1"/>
  <c r="Q104" i="28"/>
  <c r="R104" i="28" s="1"/>
  <c r="T104" i="28" s="1"/>
  <c r="O129" i="29" a="1"/>
  <c r="O230" i="29" l="1"/>
  <c r="Q230" i="29" s="1"/>
  <c r="R230" i="29" s="1"/>
  <c r="U230" i="29" s="1"/>
  <c r="O214" i="29"/>
  <c r="Q214" i="29" s="1"/>
  <c r="R214" i="29" s="1"/>
  <c r="U214" i="29" s="1"/>
  <c r="O198" i="29"/>
  <c r="Q198" i="29" s="1"/>
  <c r="R198" i="29" s="1"/>
  <c r="U198" i="29" s="1"/>
  <c r="O182" i="29"/>
  <c r="Q182" i="29" s="1"/>
  <c r="R182" i="29" s="1"/>
  <c r="U182" i="29" s="1"/>
  <c r="O166" i="29"/>
  <c r="Q166" i="29" s="1"/>
  <c r="R166" i="29" s="1"/>
  <c r="U166" i="29" s="1"/>
  <c r="O221" i="29"/>
  <c r="Q221" i="29" s="1"/>
  <c r="R221" i="29" s="1"/>
  <c r="U221" i="29" s="1"/>
  <c r="O205" i="29"/>
  <c r="Q205" i="29" s="1"/>
  <c r="R205" i="29" s="1"/>
  <c r="U205" i="29" s="1"/>
  <c r="O189" i="29"/>
  <c r="Q189" i="29" s="1"/>
  <c r="R189" i="29" s="1"/>
  <c r="U189" i="29" s="1"/>
  <c r="O173" i="29"/>
  <c r="Q173" i="29" s="1"/>
  <c r="R173" i="29" s="1"/>
  <c r="U173" i="29" s="1"/>
  <c r="O232" i="29"/>
  <c r="Q232" i="29" s="1"/>
  <c r="R232" i="29" s="1"/>
  <c r="U232" i="29" s="1"/>
  <c r="O216" i="29"/>
  <c r="Q216" i="29" s="1"/>
  <c r="R216" i="29" s="1"/>
  <c r="U216" i="29" s="1"/>
  <c r="O200" i="29"/>
  <c r="Q200" i="29" s="1"/>
  <c r="R200" i="29" s="1"/>
  <c r="U200" i="29" s="1"/>
  <c r="O184" i="29"/>
  <c r="Q184" i="29" s="1"/>
  <c r="R184" i="29" s="1"/>
  <c r="U184" i="29" s="1"/>
  <c r="O168" i="29"/>
  <c r="Q168" i="29" s="1"/>
  <c r="R168" i="29" s="1"/>
  <c r="U168" i="29" s="1"/>
  <c r="O195" i="29"/>
  <c r="Q195" i="29" s="1"/>
  <c r="R195" i="29" s="1"/>
  <c r="U195" i="29" s="1"/>
  <c r="O153" i="29"/>
  <c r="Q153" i="29" s="1"/>
  <c r="R153" i="29" s="1"/>
  <c r="U153" i="29" s="1"/>
  <c r="O137" i="29"/>
  <c r="Q137" i="29" s="1"/>
  <c r="R137" i="29" s="1"/>
  <c r="U137" i="29" s="1"/>
  <c r="O158" i="29"/>
  <c r="Q158" i="29" s="1"/>
  <c r="R158" i="29" s="1"/>
  <c r="U158" i="29" s="1"/>
  <c r="O207" i="29"/>
  <c r="Q207" i="29" s="1"/>
  <c r="R207" i="29" s="1"/>
  <c r="U207" i="29" s="1"/>
  <c r="O156" i="29"/>
  <c r="Q156" i="29" s="1"/>
  <c r="R156" i="29" s="1"/>
  <c r="U156" i="29" s="1"/>
  <c r="O140" i="29"/>
  <c r="Q140" i="29" s="1"/>
  <c r="R140" i="29" s="1"/>
  <c r="U140" i="29" s="1"/>
  <c r="O167" i="29"/>
  <c r="Q167" i="29" s="1"/>
  <c r="R167" i="29" s="1"/>
  <c r="U167" i="29" s="1"/>
  <c r="O219" i="29"/>
  <c r="Q219" i="29" s="1"/>
  <c r="R219" i="29" s="1"/>
  <c r="U219" i="29" s="1"/>
  <c r="O159" i="29"/>
  <c r="Q159" i="29" s="1"/>
  <c r="R159" i="29" s="1"/>
  <c r="U159" i="29" s="1"/>
  <c r="O143" i="29"/>
  <c r="Q143" i="29" s="1"/>
  <c r="R143" i="29" s="1"/>
  <c r="U143" i="29" s="1"/>
  <c r="O231" i="29"/>
  <c r="Q231" i="29" s="1"/>
  <c r="R231" i="29" s="1"/>
  <c r="U231" i="29" s="1"/>
  <c r="O226" i="29"/>
  <c r="Q226" i="29" s="1"/>
  <c r="R226" i="29" s="1"/>
  <c r="U226" i="29" s="1"/>
  <c r="O210" i="29"/>
  <c r="Q210" i="29" s="1"/>
  <c r="R210" i="29" s="1"/>
  <c r="U210" i="29" s="1"/>
  <c r="O194" i="29"/>
  <c r="Q194" i="29" s="1"/>
  <c r="R194" i="29" s="1"/>
  <c r="U194" i="29" s="1"/>
  <c r="O178" i="29"/>
  <c r="Q178" i="29" s="1"/>
  <c r="R178" i="29" s="1"/>
  <c r="U178" i="29" s="1"/>
  <c r="O162" i="29"/>
  <c r="Q162" i="29" s="1"/>
  <c r="R162" i="29" s="1"/>
  <c r="U162" i="29" s="1"/>
  <c r="O217" i="29"/>
  <c r="Q217" i="29" s="1"/>
  <c r="R217" i="29" s="1"/>
  <c r="U217" i="29" s="1"/>
  <c r="O201" i="29"/>
  <c r="Q201" i="29" s="1"/>
  <c r="R201" i="29" s="1"/>
  <c r="U201" i="29" s="1"/>
  <c r="O185" i="29"/>
  <c r="Q185" i="29" s="1"/>
  <c r="R185" i="29" s="1"/>
  <c r="U185" i="29" s="1"/>
  <c r="O169" i="29"/>
  <c r="Q169" i="29" s="1"/>
  <c r="R169" i="29" s="1"/>
  <c r="U169" i="29" s="1"/>
  <c r="O228" i="29"/>
  <c r="Q228" i="29" s="1"/>
  <c r="R228" i="29" s="1"/>
  <c r="U228" i="29" s="1"/>
  <c r="O212" i="29"/>
  <c r="Q212" i="29" s="1"/>
  <c r="R212" i="29" s="1"/>
  <c r="U212" i="29" s="1"/>
  <c r="O196" i="29"/>
  <c r="Q196" i="29" s="1"/>
  <c r="R196" i="29" s="1"/>
  <c r="U196" i="29" s="1"/>
  <c r="O180" i="29"/>
  <c r="Q180" i="29" s="1"/>
  <c r="R180" i="29" s="1"/>
  <c r="U180" i="29" s="1"/>
  <c r="O164" i="29"/>
  <c r="Q164" i="29" s="1"/>
  <c r="R164" i="29" s="1"/>
  <c r="U164" i="29" s="1"/>
  <c r="O179" i="29"/>
  <c r="Q179" i="29" s="1"/>
  <c r="R179" i="29" s="1"/>
  <c r="U179" i="29" s="1"/>
  <c r="O149" i="29"/>
  <c r="Q149" i="29" s="1"/>
  <c r="R149" i="29" s="1"/>
  <c r="U149" i="29" s="1"/>
  <c r="O133" i="29"/>
  <c r="Q133" i="29" s="1"/>
  <c r="R133" i="29" s="1"/>
  <c r="U133" i="29" s="1"/>
  <c r="O146" i="29"/>
  <c r="Q146" i="29" s="1"/>
  <c r="R146" i="29" s="1"/>
  <c r="U146" i="29" s="1"/>
  <c r="O191" i="29"/>
  <c r="Q191" i="29" s="1"/>
  <c r="R191" i="29" s="1"/>
  <c r="U191" i="29" s="1"/>
  <c r="O152" i="29"/>
  <c r="Q152" i="29" s="1"/>
  <c r="R152" i="29" s="1"/>
  <c r="U152" i="29" s="1"/>
  <c r="O136" i="29"/>
  <c r="Q136" i="29" s="1"/>
  <c r="R136" i="29" s="1"/>
  <c r="U136" i="29" s="1"/>
  <c r="O150" i="29"/>
  <c r="Q150" i="29" s="1"/>
  <c r="R150" i="29" s="1"/>
  <c r="U150" i="29" s="1"/>
  <c r="O203" i="29"/>
  <c r="Q203" i="29" s="1"/>
  <c r="R203" i="29" s="1"/>
  <c r="U203" i="29" s="1"/>
  <c r="O155" i="29"/>
  <c r="Q155" i="29" s="1"/>
  <c r="R155" i="29" s="1"/>
  <c r="U155" i="29" s="1"/>
  <c r="O139" i="29"/>
  <c r="Q139" i="29" s="1"/>
  <c r="R139" i="29" s="1"/>
  <c r="U139" i="29" s="1"/>
  <c r="O183" i="29"/>
  <c r="Q183" i="29" s="1"/>
  <c r="R183" i="29" s="1"/>
  <c r="U183" i="29" s="1"/>
  <c r="O222" i="29"/>
  <c r="Q222" i="29" s="1"/>
  <c r="R222" i="29" s="1"/>
  <c r="U222" i="29" s="1"/>
  <c r="O206" i="29"/>
  <c r="Q206" i="29" s="1"/>
  <c r="R206" i="29" s="1"/>
  <c r="U206" i="29" s="1"/>
  <c r="O190" i="29"/>
  <c r="Q190" i="29" s="1"/>
  <c r="R190" i="29" s="1"/>
  <c r="U190" i="29" s="1"/>
  <c r="O174" i="29"/>
  <c r="Q174" i="29" s="1"/>
  <c r="R174" i="29" s="1"/>
  <c r="U174" i="29" s="1"/>
  <c r="O229" i="29"/>
  <c r="Q229" i="29" s="1"/>
  <c r="R229" i="29" s="1"/>
  <c r="U229" i="29" s="1"/>
  <c r="O213" i="29"/>
  <c r="Q213" i="29" s="1"/>
  <c r="R213" i="29" s="1"/>
  <c r="U213" i="29" s="1"/>
  <c r="O197" i="29"/>
  <c r="Q197" i="29" s="1"/>
  <c r="R197" i="29" s="1"/>
  <c r="U197" i="29" s="1"/>
  <c r="O181" i="29"/>
  <c r="Q181" i="29" s="1"/>
  <c r="R181" i="29" s="1"/>
  <c r="U181" i="29" s="1"/>
  <c r="O165" i="29"/>
  <c r="Q165" i="29" s="1"/>
  <c r="R165" i="29" s="1"/>
  <c r="U165" i="29" s="1"/>
  <c r="O224" i="29"/>
  <c r="Q224" i="29" s="1"/>
  <c r="R224" i="29" s="1"/>
  <c r="U224" i="29" s="1"/>
  <c r="O208" i="29"/>
  <c r="Q208" i="29" s="1"/>
  <c r="R208" i="29" s="1"/>
  <c r="U208" i="29" s="1"/>
  <c r="O192" i="29"/>
  <c r="Q192" i="29" s="1"/>
  <c r="R192" i="29" s="1"/>
  <c r="U192" i="29" s="1"/>
  <c r="O176" i="29"/>
  <c r="Q176" i="29" s="1"/>
  <c r="R176" i="29" s="1"/>
  <c r="U176" i="29" s="1"/>
  <c r="O227" i="29"/>
  <c r="Q227" i="29" s="1"/>
  <c r="R227" i="29" s="1"/>
  <c r="U227" i="29" s="1"/>
  <c r="O163" i="29"/>
  <c r="Q163" i="29" s="1"/>
  <c r="R163" i="29" s="1"/>
  <c r="U163" i="29" s="1"/>
  <c r="O145" i="29"/>
  <c r="Q145" i="29" s="1"/>
  <c r="R145" i="29" s="1"/>
  <c r="U145" i="29" s="1"/>
  <c r="O129" i="29"/>
  <c r="Q129" i="29" s="1"/>
  <c r="R129" i="29" s="1"/>
  <c r="U129" i="29" s="1"/>
  <c r="O134" i="29"/>
  <c r="Q134" i="29" s="1"/>
  <c r="R134" i="29" s="1"/>
  <c r="U134" i="29" s="1"/>
  <c r="O175" i="29"/>
  <c r="Q175" i="29" s="1"/>
  <c r="R175" i="29" s="1"/>
  <c r="U175" i="29" s="1"/>
  <c r="O148" i="29"/>
  <c r="Q148" i="29" s="1"/>
  <c r="R148" i="29" s="1"/>
  <c r="U148" i="29" s="1"/>
  <c r="O132" i="29"/>
  <c r="Q132" i="29" s="1"/>
  <c r="R132" i="29" s="1"/>
  <c r="U132" i="29" s="1"/>
  <c r="O142" i="29"/>
  <c r="Q142" i="29" s="1"/>
  <c r="R142" i="29" s="1"/>
  <c r="U142" i="29" s="1"/>
  <c r="O187" i="29"/>
  <c r="Q187" i="29" s="1"/>
  <c r="R187" i="29" s="1"/>
  <c r="U187" i="29" s="1"/>
  <c r="O151" i="29"/>
  <c r="Q151" i="29" s="1"/>
  <c r="R151" i="29" s="1"/>
  <c r="U151" i="29" s="1"/>
  <c r="O135" i="29"/>
  <c r="Q135" i="29" s="1"/>
  <c r="R135" i="29" s="1"/>
  <c r="U135" i="29" s="1"/>
  <c r="O154" i="29"/>
  <c r="Q154" i="29" s="1"/>
  <c r="R154" i="29" s="1"/>
  <c r="U154" i="29" s="1"/>
  <c r="O218" i="29"/>
  <c r="Q218" i="29" s="1"/>
  <c r="R218" i="29" s="1"/>
  <c r="U218" i="29" s="1"/>
  <c r="O202" i="29"/>
  <c r="Q202" i="29" s="1"/>
  <c r="R202" i="29" s="1"/>
  <c r="U202" i="29" s="1"/>
  <c r="O186" i="29"/>
  <c r="Q186" i="29" s="1"/>
  <c r="R186" i="29" s="1"/>
  <c r="U186" i="29" s="1"/>
  <c r="O170" i="29"/>
  <c r="Q170" i="29" s="1"/>
  <c r="R170" i="29" s="1"/>
  <c r="U170" i="29" s="1"/>
  <c r="O225" i="29"/>
  <c r="Q225" i="29" s="1"/>
  <c r="R225" i="29" s="1"/>
  <c r="U225" i="29" s="1"/>
  <c r="O209" i="29"/>
  <c r="Q209" i="29" s="1"/>
  <c r="R209" i="29" s="1"/>
  <c r="U209" i="29" s="1"/>
  <c r="O193" i="29"/>
  <c r="Q193" i="29" s="1"/>
  <c r="R193" i="29" s="1"/>
  <c r="U193" i="29" s="1"/>
  <c r="O177" i="29"/>
  <c r="Q177" i="29" s="1"/>
  <c r="R177" i="29" s="1"/>
  <c r="U177" i="29" s="1"/>
  <c r="O161" i="29"/>
  <c r="Q161" i="29" s="1"/>
  <c r="R161" i="29" s="1"/>
  <c r="U161" i="29" s="1"/>
  <c r="O220" i="29"/>
  <c r="Q220" i="29" s="1"/>
  <c r="R220" i="29" s="1"/>
  <c r="U220" i="29" s="1"/>
  <c r="O204" i="29"/>
  <c r="Q204" i="29" s="1"/>
  <c r="R204" i="29" s="1"/>
  <c r="U204" i="29" s="1"/>
  <c r="O188" i="29"/>
  <c r="Q188" i="29" s="1"/>
  <c r="R188" i="29" s="1"/>
  <c r="U188" i="29" s="1"/>
  <c r="O172" i="29"/>
  <c r="Q172" i="29" s="1"/>
  <c r="R172" i="29" s="1"/>
  <c r="U172" i="29" s="1"/>
  <c r="O211" i="29"/>
  <c r="Q211" i="29" s="1"/>
  <c r="R211" i="29" s="1"/>
  <c r="U211" i="29" s="1"/>
  <c r="O157" i="29"/>
  <c r="Q157" i="29" s="1"/>
  <c r="R157" i="29" s="1"/>
  <c r="U157" i="29" s="1"/>
  <c r="O141" i="29"/>
  <c r="Q141" i="29" s="1"/>
  <c r="R141" i="29" s="1"/>
  <c r="U141" i="29" s="1"/>
  <c r="O199" i="29"/>
  <c r="Q199" i="29" s="1"/>
  <c r="R199" i="29" s="1"/>
  <c r="U199" i="29" s="1"/>
  <c r="O223" i="29"/>
  <c r="Q223" i="29" s="1"/>
  <c r="R223" i="29" s="1"/>
  <c r="U223" i="29" s="1"/>
  <c r="O160" i="29"/>
  <c r="Q160" i="29" s="1"/>
  <c r="R160" i="29" s="1"/>
  <c r="U160" i="29" s="1"/>
  <c r="O144" i="29"/>
  <c r="Q144" i="29" s="1"/>
  <c r="R144" i="29" s="1"/>
  <c r="U144" i="29" s="1"/>
  <c r="O215" i="29"/>
  <c r="Q215" i="29" s="1"/>
  <c r="R215" i="29" s="1"/>
  <c r="U215" i="29" s="1"/>
  <c r="O130" i="29"/>
  <c r="Q130" i="29" s="1"/>
  <c r="R130" i="29" s="1"/>
  <c r="U130" i="29" s="1"/>
  <c r="O171" i="29"/>
  <c r="Q171" i="29" s="1"/>
  <c r="R171" i="29" s="1"/>
  <c r="U171" i="29" s="1"/>
  <c r="O147" i="29"/>
  <c r="Q147" i="29" s="1"/>
  <c r="R147" i="29" s="1"/>
  <c r="U147" i="29" s="1"/>
  <c r="O131" i="29"/>
  <c r="Q131" i="29" s="1"/>
  <c r="R131" i="29" s="1"/>
  <c r="U131" i="29" s="1"/>
  <c r="O138" i="29"/>
  <c r="Q138" i="29" s="1"/>
  <c r="R138" i="29" s="1"/>
  <c r="U138" i="29" s="1"/>
  <c r="M105" i="28"/>
  <c r="N105" i="28" s="1"/>
  <c r="Q105" i="28"/>
  <c r="R105" i="28" s="1"/>
  <c r="T105" i="28" l="1"/>
  <c r="F4" i="29"/>
  <c r="H4" i="29" s="1"/>
  <c r="F6" i="29"/>
  <c r="H6" i="29" s="1"/>
  <c r="F5" i="29"/>
  <c r="H5" i="29" s="1"/>
  <c r="B112" i="28"/>
  <c r="C112" i="28" l="1"/>
  <c r="E8" i="33"/>
  <c r="F8" i="33" s="1"/>
  <c r="G8" i="33" s="1"/>
  <c r="E7" i="33"/>
  <c r="F7" i="33" s="1"/>
  <c r="G7" i="33" s="1"/>
  <c r="E4" i="33"/>
  <c r="F4" i="33" s="1"/>
  <c r="G4" i="33" s="1"/>
  <c r="E5" i="33"/>
  <c r="F5" i="33" s="1"/>
  <c r="G5" i="33" s="1"/>
  <c r="E3" i="33"/>
  <c r="F3" i="33" s="1"/>
  <c r="G3" i="33" s="1"/>
  <c r="E11" i="33" l="1"/>
  <c r="F11" i="33" s="1"/>
  <c r="G11" i="33" s="1"/>
  <c r="E10" i="33"/>
  <c r="F10" i="33" s="1"/>
  <c r="G10" i="33" s="1"/>
  <c r="E9" i="33"/>
  <c r="F9" i="33" s="1"/>
  <c r="G9" i="33" s="1"/>
</calcChain>
</file>

<file path=xl/comments1.xml><?xml version="1.0" encoding="utf-8"?>
<comments xmlns="http://schemas.openxmlformats.org/spreadsheetml/2006/main">
  <authors>
    <author>PULSE Electronics</author>
    <author>Esida</author>
    <author>DefaultAppPool</author>
  </authors>
  <commentList>
    <comment ref="H14" authorId="0" shapeId="0">
      <text>
        <r>
          <rPr>
            <b/>
            <sz val="9"/>
            <color indexed="81"/>
            <rFont val="Tahoma"/>
            <family val="2"/>
          </rPr>
          <t>PULSE Electronics:</t>
        </r>
        <r>
          <rPr>
            <sz val="9"/>
            <color indexed="81"/>
            <rFont val="Tahoma"/>
            <family val="2"/>
          </rPr>
          <t xml:space="preserve">
PENW table delta2000-2019
</t>
        </r>
      </text>
    </comment>
    <comment ref="I14" authorId="1" shapeId="0">
      <text>
        <r>
          <rPr>
            <sz val="9"/>
            <color indexed="81"/>
            <rFont val="Tahoma"/>
            <family val="2"/>
          </rPr>
          <t xml:space="preserve">
The capital stock series is not detrended because the maximum potential contribution of capital is given by
the full utilisation of the existing capital in the economy. </t>
        </r>
      </text>
    </comment>
    <comment ref="J14" authorId="1" shapeId="0">
      <text>
        <r>
          <rPr>
            <sz val="9"/>
            <color indexed="81"/>
            <rFont val="Tahoma"/>
            <family val="2"/>
          </rPr>
          <t>Nr of Employees
in mil</t>
        </r>
      </text>
    </comment>
    <comment ref="D15" authorId="2" shapeId="0">
      <text>
        <r>
          <rPr>
            <sz val="9"/>
            <color rgb="FF000000"/>
            <rFont val="Tahoma"/>
            <family val="2"/>
          </rPr>
          <t>Includes discrepancies in changes in inventories due to balancing</t>
        </r>
      </text>
    </comment>
    <comment ref="D16" authorId="2" shapeId="0">
      <text>
        <r>
          <rPr>
            <sz val="9"/>
            <color rgb="FF000000"/>
            <rFont val="Tahoma"/>
            <family val="2"/>
          </rPr>
          <t>Includes discrepancies in changes in inventories due to balancing</t>
        </r>
      </text>
    </comment>
    <comment ref="D17" authorId="2" shapeId="0">
      <text>
        <r>
          <rPr>
            <sz val="9"/>
            <color rgb="FF000000"/>
            <rFont val="Tahoma"/>
            <family val="2"/>
          </rPr>
          <t>Includes discrepancies in changes in inventories due to balancing</t>
        </r>
      </text>
    </comment>
    <comment ref="D18" authorId="2" shapeId="0">
      <text>
        <r>
          <rPr>
            <sz val="9"/>
            <color rgb="FF000000"/>
            <rFont val="Tahoma"/>
            <family val="2"/>
          </rPr>
          <t>Includes discrepancies in changes in inventories due to balancing</t>
        </r>
      </text>
    </comment>
    <comment ref="D19" authorId="2" shapeId="0">
      <text>
        <r>
          <rPr>
            <sz val="9"/>
            <color rgb="FF000000"/>
            <rFont val="Tahoma"/>
            <family val="2"/>
          </rPr>
          <t>Includes discrepancies in changes in inventories due to balancing</t>
        </r>
      </text>
    </comment>
    <comment ref="D20" authorId="2" shapeId="0">
      <text>
        <r>
          <rPr>
            <sz val="9"/>
            <color rgb="FF000000"/>
            <rFont val="Tahoma"/>
            <family val="2"/>
          </rPr>
          <t>Includes discrepancies in changes in inventories due to balancing</t>
        </r>
      </text>
    </comment>
    <comment ref="D21" authorId="2" shapeId="0">
      <text>
        <r>
          <rPr>
            <sz val="9"/>
            <color rgb="FF000000"/>
            <rFont val="Tahoma"/>
            <family val="2"/>
          </rPr>
          <t>Includes discrepancies in changes in inventories due to balancing</t>
        </r>
      </text>
    </comment>
    <comment ref="D22" authorId="2" shapeId="0">
      <text>
        <r>
          <rPr>
            <sz val="9"/>
            <color rgb="FF000000"/>
            <rFont val="Tahoma"/>
            <family val="2"/>
          </rPr>
          <t>Includes discrepancies in changes in inventories due to balancing</t>
        </r>
      </text>
    </comment>
    <comment ref="D23" authorId="2" shapeId="0">
      <text>
        <r>
          <rPr>
            <sz val="9"/>
            <color rgb="FF000000"/>
            <rFont val="Tahoma"/>
            <family val="2"/>
          </rPr>
          <t>Includes discrepancies in changes in inventories due to balancing</t>
        </r>
      </text>
    </comment>
    <comment ref="D24" authorId="2" shapeId="0">
      <text>
        <r>
          <rPr>
            <sz val="9"/>
            <color rgb="FF000000"/>
            <rFont val="Tahoma"/>
            <family val="2"/>
          </rPr>
          <t>Includes discrepancies in changes in inventories due to balancing</t>
        </r>
      </text>
    </comment>
    <comment ref="D25" authorId="2" shapeId="0">
      <text>
        <r>
          <rPr>
            <sz val="9"/>
            <color rgb="FF000000"/>
            <rFont val="Tahoma"/>
            <family val="2"/>
          </rPr>
          <t>Includes discrepancies in changes in inventories due to balancing</t>
        </r>
      </text>
    </comment>
    <comment ref="D26" authorId="2" shapeId="0">
      <text>
        <r>
          <rPr>
            <sz val="9"/>
            <color rgb="FF000000"/>
            <rFont val="Tahoma"/>
            <family val="2"/>
          </rPr>
          <t>Includes discrepancies in changes in inventories due to balancing</t>
        </r>
      </text>
    </comment>
    <comment ref="D27" authorId="2" shapeId="0">
      <text>
        <r>
          <rPr>
            <sz val="9"/>
            <color rgb="FF000000"/>
            <rFont val="Tahoma"/>
            <family val="2"/>
          </rPr>
          <t>Includes discrepancies in changes in inventories due to balancing</t>
        </r>
      </text>
    </comment>
    <comment ref="D28" authorId="2" shapeId="0">
      <text>
        <r>
          <rPr>
            <sz val="9"/>
            <color rgb="FF000000"/>
            <rFont val="Tahoma"/>
            <family val="2"/>
          </rPr>
          <t>Includes discrepancies in changes in inventories due to balancing</t>
        </r>
      </text>
    </comment>
    <comment ref="D29" authorId="2" shapeId="0">
      <text>
        <r>
          <rPr>
            <sz val="9"/>
            <color rgb="FF000000"/>
            <rFont val="Tahoma"/>
            <family val="2"/>
          </rPr>
          <t>Includes discrepancies in changes in inventories due to balancing</t>
        </r>
      </text>
    </comment>
    <comment ref="D30" authorId="2" shapeId="0">
      <text>
        <r>
          <rPr>
            <sz val="9"/>
            <color rgb="FF000000"/>
            <rFont val="Tahoma"/>
            <family val="2"/>
          </rPr>
          <t>Includes discrepancies in changes in inventories due to balancing</t>
        </r>
      </text>
    </comment>
    <comment ref="D31" authorId="2" shapeId="0">
      <text>
        <r>
          <rPr>
            <sz val="9"/>
            <color rgb="FF000000"/>
            <rFont val="Tahoma"/>
            <family val="2"/>
          </rPr>
          <t>Includes discrepancies in changes in inventories due to balancing</t>
        </r>
      </text>
    </comment>
    <comment ref="D32" authorId="2" shapeId="0">
      <text>
        <r>
          <rPr>
            <sz val="9"/>
            <color rgb="FF000000"/>
            <rFont val="Tahoma"/>
            <family val="2"/>
          </rPr>
          <t>Includes discrepancies in changes in inventories due to balancing</t>
        </r>
      </text>
    </comment>
    <comment ref="D33" authorId="2" shapeId="0">
      <text>
        <r>
          <rPr>
            <sz val="9"/>
            <color rgb="FF000000"/>
            <rFont val="Tahoma"/>
            <family val="2"/>
          </rPr>
          <t>Includes discrepancies in changes in inventories due to balancing</t>
        </r>
      </text>
    </comment>
    <comment ref="D34" authorId="2" shapeId="0">
      <text>
        <r>
          <rPr>
            <sz val="9"/>
            <color rgb="FF000000"/>
            <rFont val="Tahoma"/>
            <family val="2"/>
          </rPr>
          <t>Includes discrepancies in changes in inventories due to balancing</t>
        </r>
      </text>
    </comment>
    <comment ref="D35" authorId="2" shapeId="0">
      <text>
        <r>
          <rPr>
            <sz val="9"/>
            <color rgb="FF000000"/>
            <rFont val="Tahoma"/>
            <family val="2"/>
          </rPr>
          <t>Includes discrepancies in changes in inventories due to balancing</t>
        </r>
      </text>
    </comment>
    <comment ref="D36" authorId="2" shapeId="0">
      <text>
        <r>
          <rPr>
            <sz val="9"/>
            <color rgb="FF000000"/>
            <rFont val="Tahoma"/>
            <family val="2"/>
          </rPr>
          <t>Includes discrepancies in changes in inventories due to balancing</t>
        </r>
      </text>
    </comment>
    <comment ref="D37" authorId="2" shapeId="0">
      <text>
        <r>
          <rPr>
            <sz val="9"/>
            <color rgb="FF000000"/>
            <rFont val="Tahoma"/>
            <family val="2"/>
          </rPr>
          <t>Includes discrepancies in changes in inventories due to balancing</t>
        </r>
      </text>
    </comment>
    <comment ref="D38" authorId="2" shapeId="0">
      <text>
        <r>
          <rPr>
            <sz val="9"/>
            <color rgb="FF000000"/>
            <rFont val="Tahoma"/>
            <family val="2"/>
          </rPr>
          <t>Includes discrepancies in changes in inventories due to balancing</t>
        </r>
      </text>
    </comment>
    <comment ref="D39" authorId="2" shapeId="0">
      <text>
        <r>
          <rPr>
            <sz val="9"/>
            <color rgb="FF000000"/>
            <rFont val="Tahoma"/>
            <family val="2"/>
          </rPr>
          <t>Includes discrepancies in changes in inventories due to balancing</t>
        </r>
      </text>
    </comment>
    <comment ref="D40" authorId="2" shapeId="0">
      <text>
        <r>
          <rPr>
            <sz val="9"/>
            <color rgb="FF000000"/>
            <rFont val="Tahoma"/>
            <family val="2"/>
          </rPr>
          <t>Includes discrepancies in changes in inventories due to balancing</t>
        </r>
      </text>
    </comment>
    <comment ref="D41" authorId="2" shapeId="0">
      <text>
        <r>
          <rPr>
            <sz val="9"/>
            <color rgb="FF000000"/>
            <rFont val="Tahoma"/>
            <family val="2"/>
          </rPr>
          <t>Includes discrepancies in changes in inventories due to balancing</t>
        </r>
      </text>
    </comment>
    <comment ref="D42" authorId="2" shapeId="0">
      <text>
        <r>
          <rPr>
            <sz val="9"/>
            <color rgb="FF000000"/>
            <rFont val="Tahoma"/>
            <family val="2"/>
          </rPr>
          <t>Includes discrepancies in changes in inventories due to balancing</t>
        </r>
      </text>
    </comment>
    <comment ref="D43" authorId="2" shapeId="0">
      <text>
        <r>
          <rPr>
            <sz val="9"/>
            <color rgb="FF000000"/>
            <rFont val="Tahoma"/>
            <family val="2"/>
          </rPr>
          <t>Includes discrepancies in changes in inventories due to balancing</t>
        </r>
      </text>
    </comment>
    <comment ref="D44" authorId="2" shapeId="0">
      <text>
        <r>
          <rPr>
            <sz val="9"/>
            <color rgb="FF000000"/>
            <rFont val="Tahoma"/>
            <family val="2"/>
          </rPr>
          <t>Includes discrepancies in changes in inventories due to balancing</t>
        </r>
      </text>
    </comment>
    <comment ref="D45" authorId="2" shapeId="0">
      <text>
        <r>
          <rPr>
            <sz val="9"/>
            <color rgb="FF000000"/>
            <rFont val="Tahoma"/>
            <family val="2"/>
          </rPr>
          <t>Includes discrepancies in changes in inventories due to balancing</t>
        </r>
      </text>
    </comment>
    <comment ref="D46" authorId="2" shapeId="0">
      <text>
        <r>
          <rPr>
            <sz val="9"/>
            <color rgb="FF000000"/>
            <rFont val="Tahoma"/>
            <family val="2"/>
          </rPr>
          <t>Includes discrepancies in changes in inventories due to balancing</t>
        </r>
      </text>
    </comment>
    <comment ref="D47" authorId="2" shapeId="0">
      <text>
        <r>
          <rPr>
            <sz val="9"/>
            <color rgb="FF000000"/>
            <rFont val="Tahoma"/>
            <family val="2"/>
          </rPr>
          <t>Includes discrepancies in changes in inventories due to balancing</t>
        </r>
      </text>
    </comment>
    <comment ref="D48" authorId="2" shapeId="0">
      <text>
        <r>
          <rPr>
            <sz val="9"/>
            <color rgb="FF000000"/>
            <rFont val="Tahoma"/>
            <family val="2"/>
          </rPr>
          <t>Includes discrepancies in changes in inventories due to balancing</t>
        </r>
      </text>
    </comment>
    <comment ref="D49" authorId="2" shapeId="0">
      <text>
        <r>
          <rPr>
            <sz val="9"/>
            <color rgb="FF000000"/>
            <rFont val="Tahoma"/>
            <family val="2"/>
          </rPr>
          <t>Includes discrepancies in changes in inventories due to balancing</t>
        </r>
      </text>
    </comment>
    <comment ref="D50" authorId="2" shapeId="0">
      <text>
        <r>
          <rPr>
            <sz val="9"/>
            <color rgb="FF000000"/>
            <rFont val="Tahoma"/>
            <family val="2"/>
          </rPr>
          <t>Includes discrepancies in changes in inventories due to balancing</t>
        </r>
      </text>
    </comment>
    <comment ref="D51" authorId="2" shapeId="0">
      <text>
        <r>
          <rPr>
            <sz val="9"/>
            <color rgb="FF000000"/>
            <rFont val="Tahoma"/>
            <family val="2"/>
          </rPr>
          <t>Includes discrepancies in changes in inventories due to balancing</t>
        </r>
      </text>
    </comment>
    <comment ref="D52" authorId="2" shapeId="0">
      <text>
        <r>
          <rPr>
            <sz val="9"/>
            <color rgb="FF000000"/>
            <rFont val="Tahoma"/>
            <family val="2"/>
          </rPr>
          <t>Includes discrepancies in changes in inventories due to balancing</t>
        </r>
      </text>
    </comment>
    <comment ref="D53" authorId="2" shapeId="0">
      <text>
        <r>
          <rPr>
            <sz val="9"/>
            <color rgb="FF000000"/>
            <rFont val="Tahoma"/>
            <family val="2"/>
          </rPr>
          <t>Includes discrepancies in changes in inventories due to balancing</t>
        </r>
      </text>
    </comment>
    <comment ref="D54" authorId="2" shapeId="0">
      <text>
        <r>
          <rPr>
            <sz val="9"/>
            <color rgb="FF000000"/>
            <rFont val="Tahoma"/>
            <family val="2"/>
          </rPr>
          <t>Includes discrepancies in changes in inventories due to balancing</t>
        </r>
      </text>
    </comment>
    <comment ref="D55" authorId="2" shapeId="0">
      <text>
        <r>
          <rPr>
            <sz val="9"/>
            <color rgb="FF000000"/>
            <rFont val="Tahoma"/>
            <family val="2"/>
          </rPr>
          <t>Includes discrepancies in changes in inventories due to balancing</t>
        </r>
      </text>
    </comment>
    <comment ref="D56" authorId="2" shapeId="0">
      <text>
        <r>
          <rPr>
            <sz val="9"/>
            <color rgb="FF000000"/>
            <rFont val="Tahoma"/>
            <family val="2"/>
          </rPr>
          <t>Includes discrepancies in changes in inventories due to balancing</t>
        </r>
      </text>
    </comment>
    <comment ref="D57" authorId="2" shapeId="0">
      <text>
        <r>
          <rPr>
            <sz val="9"/>
            <color rgb="FF000000"/>
            <rFont val="Tahoma"/>
            <family val="2"/>
          </rPr>
          <t>Includes discrepancies in changes in inventories due to balancing</t>
        </r>
      </text>
    </comment>
    <comment ref="D58" authorId="2" shapeId="0">
      <text>
        <r>
          <rPr>
            <sz val="9"/>
            <color rgb="FF000000"/>
            <rFont val="Tahoma"/>
            <family val="2"/>
          </rPr>
          <t>Includes discrepancies in changes in inventories due to balancing</t>
        </r>
      </text>
    </comment>
    <comment ref="D59" authorId="2" shapeId="0">
      <text>
        <r>
          <rPr>
            <sz val="9"/>
            <color rgb="FF000000"/>
            <rFont val="Tahoma"/>
            <family val="2"/>
          </rPr>
          <t>Includes discrepancies in changes in inventories due to balancing</t>
        </r>
      </text>
    </comment>
    <comment ref="D60" authorId="2" shapeId="0">
      <text>
        <r>
          <rPr>
            <sz val="9"/>
            <color rgb="FF000000"/>
            <rFont val="Tahoma"/>
            <family val="2"/>
          </rPr>
          <t>Includes discrepancies in changes in inventories due to balancing</t>
        </r>
      </text>
    </comment>
    <comment ref="D61" authorId="2" shapeId="0">
      <text>
        <r>
          <rPr>
            <sz val="9"/>
            <color rgb="FF000000"/>
            <rFont val="Tahoma"/>
            <family val="2"/>
          </rPr>
          <t>Includes discrepancies in changes in inventories due to balancing</t>
        </r>
      </text>
    </comment>
    <comment ref="D62" authorId="2" shapeId="0">
      <text>
        <r>
          <rPr>
            <sz val="9"/>
            <color rgb="FF000000"/>
            <rFont val="Tahoma"/>
            <family val="2"/>
          </rPr>
          <t>Includes discrepancies in changes in inventories due to balancing</t>
        </r>
      </text>
    </comment>
    <comment ref="D63" authorId="2" shapeId="0">
      <text>
        <r>
          <rPr>
            <sz val="9"/>
            <color rgb="FF000000"/>
            <rFont val="Tahoma"/>
            <family val="2"/>
          </rPr>
          <t>Includes discrepancies in changes in inventories due to balancing</t>
        </r>
      </text>
    </comment>
    <comment ref="D64" authorId="2" shapeId="0">
      <text>
        <r>
          <rPr>
            <sz val="9"/>
            <color rgb="FF000000"/>
            <rFont val="Tahoma"/>
            <family val="2"/>
          </rPr>
          <t>Includes discrepancies in changes in inventories due to balancing</t>
        </r>
      </text>
    </comment>
    <comment ref="D65" authorId="2" shapeId="0">
      <text>
        <r>
          <rPr>
            <sz val="9"/>
            <color rgb="FF000000"/>
            <rFont val="Tahoma"/>
            <family val="2"/>
          </rPr>
          <t>Includes discrepancies in changes in inventories due to balancing</t>
        </r>
      </text>
    </comment>
    <comment ref="D66" authorId="2" shapeId="0">
      <text>
        <r>
          <rPr>
            <sz val="9"/>
            <color rgb="FF000000"/>
            <rFont val="Tahoma"/>
            <family val="2"/>
          </rPr>
          <t>Includes discrepancies in changes in inventories due to balancing</t>
        </r>
      </text>
    </comment>
    <comment ref="D67" authorId="2" shapeId="0">
      <text>
        <r>
          <rPr>
            <sz val="9"/>
            <color rgb="FF000000"/>
            <rFont val="Tahoma"/>
            <family val="2"/>
          </rPr>
          <t>Includes discrepancies in changes in inventories due to balancing</t>
        </r>
      </text>
    </comment>
    <comment ref="D68" authorId="2" shapeId="0">
      <text>
        <r>
          <rPr>
            <sz val="9"/>
            <color rgb="FF000000"/>
            <rFont val="Tahoma"/>
            <family val="2"/>
          </rPr>
          <t>Includes discrepancies in changes in inventories due to balancing</t>
        </r>
      </text>
    </comment>
    <comment ref="D69" authorId="2" shapeId="0">
      <text>
        <r>
          <rPr>
            <sz val="9"/>
            <color rgb="FF000000"/>
            <rFont val="Tahoma"/>
            <family val="2"/>
          </rPr>
          <t>Includes discrepancies in changes in inventories due to balancing</t>
        </r>
      </text>
    </comment>
    <comment ref="D70" authorId="2" shapeId="0">
      <text>
        <r>
          <rPr>
            <sz val="9"/>
            <color rgb="FF000000"/>
            <rFont val="Tahoma"/>
            <family val="2"/>
          </rPr>
          <t>Includes discrepancies in changes in inventories due to balancing</t>
        </r>
      </text>
    </comment>
    <comment ref="D71" authorId="2" shapeId="0">
      <text>
        <r>
          <rPr>
            <sz val="9"/>
            <color rgb="FF000000"/>
            <rFont val="Tahoma"/>
            <family val="2"/>
          </rPr>
          <t>Includes discrepancies in changes in inventories due to balancing</t>
        </r>
      </text>
    </comment>
    <comment ref="D72" authorId="2" shapeId="0">
      <text>
        <r>
          <rPr>
            <sz val="9"/>
            <color rgb="FF000000"/>
            <rFont val="Tahoma"/>
            <family val="2"/>
          </rPr>
          <t>Includes discrepancies in changes in inventories due to balancing</t>
        </r>
      </text>
    </comment>
    <comment ref="D73" authorId="2" shapeId="0">
      <text>
        <r>
          <rPr>
            <sz val="9"/>
            <color rgb="FF000000"/>
            <rFont val="Tahoma"/>
            <family val="2"/>
          </rPr>
          <t>Includes discrepancies in changes in inventories due to balancing</t>
        </r>
      </text>
    </comment>
    <comment ref="D74" authorId="2" shapeId="0">
      <text>
        <r>
          <rPr>
            <sz val="9"/>
            <color rgb="FF000000"/>
            <rFont val="Tahoma"/>
            <family val="2"/>
          </rPr>
          <t>Includes discrepancies in changes in inventories due to balancing</t>
        </r>
      </text>
    </comment>
    <comment ref="D75" authorId="2" shapeId="0">
      <text>
        <r>
          <rPr>
            <sz val="9"/>
            <color rgb="FF000000"/>
            <rFont val="Tahoma"/>
            <family val="2"/>
          </rPr>
          <t>Includes discrepancies in changes in inventories due to balancing</t>
        </r>
      </text>
    </comment>
    <comment ref="D76" authorId="2" shapeId="0">
      <text>
        <r>
          <rPr>
            <sz val="9"/>
            <color rgb="FF000000"/>
            <rFont val="Tahoma"/>
            <family val="2"/>
          </rPr>
          <t>Includes discrepancies in changes in inventories due to balancing</t>
        </r>
      </text>
    </comment>
    <comment ref="D77" authorId="2" shapeId="0">
      <text>
        <r>
          <rPr>
            <sz val="9"/>
            <color rgb="FF000000"/>
            <rFont val="Tahoma"/>
            <family val="2"/>
          </rPr>
          <t>Includes discrepancies in changes in inventories due to balancing</t>
        </r>
      </text>
    </comment>
    <comment ref="D78" authorId="2" shapeId="0">
      <text>
        <r>
          <rPr>
            <sz val="9"/>
            <color rgb="FF000000"/>
            <rFont val="Tahoma"/>
            <family val="2"/>
          </rPr>
          <t>Includes discrepancies in changes in inventories due to balancing</t>
        </r>
      </text>
    </comment>
    <comment ref="D79" authorId="2" shapeId="0">
      <text>
        <r>
          <rPr>
            <sz val="9"/>
            <color rgb="FF000000"/>
            <rFont val="Tahoma"/>
            <family val="2"/>
          </rPr>
          <t>Includes discrepancies in changes in inventories due to balancing</t>
        </r>
      </text>
    </comment>
    <comment ref="D80" authorId="2" shapeId="0">
      <text>
        <r>
          <rPr>
            <sz val="9"/>
            <color rgb="FF000000"/>
            <rFont val="Tahoma"/>
            <family val="2"/>
          </rPr>
          <t>Includes discrepancies in changes in inventories due to balancing</t>
        </r>
      </text>
    </comment>
    <comment ref="D81" authorId="2" shapeId="0">
      <text>
        <r>
          <rPr>
            <sz val="9"/>
            <color rgb="FF000000"/>
            <rFont val="Tahoma"/>
            <family val="2"/>
          </rPr>
          <t>Includes discrepancies in changes in inventories due to balancing</t>
        </r>
      </text>
    </comment>
    <comment ref="D82" authorId="2" shapeId="0">
      <text>
        <r>
          <rPr>
            <sz val="9"/>
            <color rgb="FF000000"/>
            <rFont val="Tahoma"/>
            <family val="2"/>
          </rPr>
          <t>Includes discrepancies in changes in inventories due to balancing</t>
        </r>
      </text>
    </comment>
    <comment ref="D83" authorId="2" shapeId="0">
      <text>
        <r>
          <rPr>
            <sz val="9"/>
            <color rgb="FF000000"/>
            <rFont val="Tahoma"/>
            <family val="2"/>
          </rPr>
          <t>Includes discrepancies in changes in inventories due to balancing</t>
        </r>
      </text>
    </comment>
    <comment ref="D84" authorId="2" shapeId="0">
      <text>
        <r>
          <rPr>
            <sz val="9"/>
            <color rgb="FF000000"/>
            <rFont val="Tahoma"/>
            <family val="2"/>
          </rPr>
          <t>Includes discrepancies in changes in inventories due to balancing</t>
        </r>
      </text>
    </comment>
    <comment ref="D85" authorId="2" shapeId="0">
      <text>
        <r>
          <rPr>
            <sz val="9"/>
            <color rgb="FF000000"/>
            <rFont val="Tahoma"/>
            <family val="2"/>
          </rPr>
          <t>Includes discrepancies in changes in inventories due to balancing</t>
        </r>
      </text>
    </comment>
    <comment ref="D86" authorId="2" shapeId="0">
      <text>
        <r>
          <rPr>
            <sz val="9"/>
            <color rgb="FF000000"/>
            <rFont val="Tahoma"/>
            <family val="2"/>
          </rPr>
          <t>Includes discrepancies in changes in inventories due to balancing</t>
        </r>
      </text>
    </comment>
    <comment ref="D87" authorId="2" shapeId="0">
      <text>
        <r>
          <rPr>
            <sz val="9"/>
            <color rgb="FF000000"/>
            <rFont val="Tahoma"/>
            <family val="2"/>
          </rPr>
          <t>Includes discrepancies in changes in inventories due to balancing</t>
        </r>
      </text>
    </comment>
    <comment ref="D88" authorId="2" shapeId="0">
      <text>
        <r>
          <rPr>
            <sz val="9"/>
            <color rgb="FF000000"/>
            <rFont val="Tahoma"/>
            <family val="2"/>
          </rPr>
          <t>Includes discrepancies in changes in inventories due to balancing</t>
        </r>
      </text>
    </comment>
    <comment ref="D89" authorId="2" shapeId="0">
      <text>
        <r>
          <rPr>
            <sz val="9"/>
            <color rgb="FF000000"/>
            <rFont val="Tahoma"/>
            <family val="2"/>
          </rPr>
          <t>Includes discrepancies in changes in inventories due to balancing</t>
        </r>
      </text>
    </comment>
    <comment ref="D90" authorId="2" shapeId="0">
      <text>
        <r>
          <rPr>
            <sz val="9"/>
            <color rgb="FF000000"/>
            <rFont val="Tahoma"/>
            <family val="2"/>
          </rPr>
          <t>Includes discrepancies in changes in inventories due to balancing</t>
        </r>
      </text>
    </comment>
    <comment ref="D91" authorId="2" shapeId="0">
      <text>
        <r>
          <rPr>
            <sz val="9"/>
            <color rgb="FF000000"/>
            <rFont val="Tahoma"/>
            <family val="2"/>
          </rPr>
          <t>Includes discrepancies in changes in inventories due to balancing</t>
        </r>
      </text>
    </comment>
    <comment ref="D92" authorId="2" shapeId="0">
      <text>
        <r>
          <rPr>
            <sz val="9"/>
            <color rgb="FF000000"/>
            <rFont val="Tahoma"/>
            <family val="2"/>
          </rPr>
          <t>Includes discrepancies in changes in inventories due to balancing</t>
        </r>
      </text>
    </comment>
    <comment ref="D93" authorId="2" shapeId="0">
      <text>
        <r>
          <rPr>
            <sz val="9"/>
            <color rgb="FF000000"/>
            <rFont val="Tahoma"/>
            <family val="2"/>
          </rPr>
          <t>Includes discrepancies in changes in inventories due to balancing</t>
        </r>
      </text>
    </comment>
    <comment ref="D94" authorId="2" shapeId="0">
      <text>
        <r>
          <rPr>
            <sz val="9"/>
            <color rgb="FF000000"/>
            <rFont val="Tahoma"/>
            <family val="2"/>
          </rPr>
          <t>Includes discrepancies in changes in inventories due to balancing</t>
        </r>
      </text>
    </comment>
    <comment ref="D95" authorId="2" shapeId="0">
      <text>
        <r>
          <rPr>
            <sz val="9"/>
            <color rgb="FF000000"/>
            <rFont val="Tahoma"/>
            <family val="2"/>
          </rPr>
          <t>Includes discrepancies in changes in inventories due to balancing</t>
        </r>
      </text>
    </comment>
    <comment ref="D96" authorId="2" shapeId="0">
      <text>
        <r>
          <rPr>
            <sz val="9"/>
            <color rgb="FF000000"/>
            <rFont val="Tahoma"/>
            <family val="2"/>
          </rPr>
          <t>Includes discrepancies in changes in inventories due to balancing</t>
        </r>
      </text>
    </comment>
    <comment ref="D97" authorId="2" shapeId="0">
      <text>
        <r>
          <rPr>
            <sz val="9"/>
            <color rgb="FF000000"/>
            <rFont val="Tahoma"/>
            <family val="2"/>
          </rPr>
          <t>Includes discrepancies in changes in inventories due to balancing</t>
        </r>
      </text>
    </comment>
    <comment ref="D98" authorId="2" shapeId="0">
      <text>
        <r>
          <rPr>
            <sz val="9"/>
            <color rgb="FF000000"/>
            <rFont val="Tahoma"/>
            <family val="2"/>
          </rPr>
          <t>Includes discrepancies in changes in inventories due to balancing</t>
        </r>
      </text>
    </comment>
    <comment ref="D99" authorId="2" shapeId="0">
      <text>
        <r>
          <rPr>
            <sz val="9"/>
            <color rgb="FF000000"/>
            <rFont val="Tahoma"/>
            <family val="2"/>
          </rPr>
          <t>Includes discrepancies in changes in inventories due to balancing</t>
        </r>
      </text>
    </comment>
    <comment ref="D100" authorId="2" shapeId="0">
      <text>
        <r>
          <rPr>
            <sz val="9"/>
            <color rgb="FF000000"/>
            <rFont val="Tahoma"/>
            <family val="2"/>
          </rPr>
          <t>Includes discrepancies in changes in inventories due to balancing</t>
        </r>
      </text>
    </comment>
    <comment ref="D101" authorId="2" shapeId="0">
      <text>
        <r>
          <rPr>
            <sz val="9"/>
            <color rgb="FF000000"/>
            <rFont val="Tahoma"/>
            <family val="2"/>
          </rPr>
          <t>Includes discrepancies in changes in inventories due to balancing</t>
        </r>
      </text>
    </comment>
    <comment ref="D102" authorId="2" shapeId="0">
      <text>
        <r>
          <rPr>
            <sz val="9"/>
            <color rgb="FF000000"/>
            <rFont val="Tahoma"/>
            <family val="2"/>
          </rPr>
          <t>Includes discrepancies in changes in inventories due to balancing</t>
        </r>
      </text>
    </comment>
    <comment ref="D103" authorId="2" shapeId="0">
      <text>
        <r>
          <rPr>
            <sz val="9"/>
            <color rgb="FF000000"/>
            <rFont val="Tahoma"/>
            <family val="2"/>
          </rPr>
          <t>Includes discrepancies in changes in inventories due to balancing</t>
        </r>
      </text>
    </comment>
    <comment ref="D104" authorId="2" shapeId="0">
      <text>
        <r>
          <rPr>
            <sz val="9"/>
            <color rgb="FF000000"/>
            <rFont val="Tahoma"/>
            <family val="2"/>
          </rPr>
          <t>Includes discrepancies in changes in inventories due to balancing</t>
        </r>
      </text>
    </comment>
    <comment ref="D105" authorId="2" shapeId="0">
      <text>
        <r>
          <rPr>
            <sz val="9"/>
            <color rgb="FF000000"/>
            <rFont val="Tahoma"/>
            <family val="2"/>
          </rPr>
          <t>Includes discrepancies in changes in inventories due to balancing</t>
        </r>
      </text>
    </comment>
    <comment ref="D106" authorId="2" shapeId="0">
      <text>
        <r>
          <rPr>
            <sz val="9"/>
            <color rgb="FF000000"/>
            <rFont val="Tahoma"/>
            <family val="2"/>
          </rPr>
          <t>Includes discrepancies in changes in inventories due to balancing</t>
        </r>
      </text>
    </comment>
    <comment ref="D127" authorId="2" shapeId="0">
      <text>
        <r>
          <rPr>
            <sz val="9"/>
            <color rgb="FF000000"/>
            <rFont val="Tahoma"/>
            <family val="2"/>
          </rPr>
          <t>Includes discrepancies in changes in inventories due to balancing</t>
        </r>
      </text>
    </comment>
    <comment ref="H128" authorId="0" shapeId="0">
      <text>
        <r>
          <rPr>
            <b/>
            <sz val="9"/>
            <color indexed="81"/>
            <rFont val="Tahoma"/>
            <family val="2"/>
          </rPr>
          <t>PULSE Electronics:</t>
        </r>
        <r>
          <rPr>
            <sz val="9"/>
            <color indexed="81"/>
            <rFont val="Tahoma"/>
            <family val="2"/>
          </rPr>
          <t xml:space="preserve">
PENW table delta2000-2019
</t>
        </r>
      </text>
    </comment>
    <comment ref="I128" authorId="1" shapeId="0">
      <text>
        <r>
          <rPr>
            <sz val="9"/>
            <color indexed="81"/>
            <rFont val="Tahoma"/>
            <family val="2"/>
          </rPr>
          <t xml:space="preserve">
The capital stock series is not detrended because the maximum potential contribution of capital is given by
the full utilisation of the existing capital in the economy. </t>
        </r>
      </text>
    </comment>
    <comment ref="J128" authorId="1" shapeId="0">
      <text>
        <r>
          <rPr>
            <sz val="9"/>
            <color indexed="81"/>
            <rFont val="Tahoma"/>
            <family val="2"/>
          </rPr>
          <t>Nr of Employees
in mil</t>
        </r>
      </text>
    </comment>
    <comment ref="D129" authorId="2" shapeId="0">
      <text>
        <r>
          <rPr>
            <sz val="9"/>
            <color rgb="FF000000"/>
            <rFont val="Tahoma"/>
            <family val="2"/>
          </rPr>
          <t>Includes discrepancies in changes in inventories due to balancing</t>
        </r>
      </text>
    </comment>
    <comment ref="D130" authorId="2" shapeId="0">
      <text>
        <r>
          <rPr>
            <sz val="9"/>
            <color rgb="FF000000"/>
            <rFont val="Tahoma"/>
            <family val="2"/>
          </rPr>
          <t>Includes discrepancies in changes in inventories due to balancing</t>
        </r>
      </text>
    </comment>
    <comment ref="D131" authorId="2" shapeId="0">
      <text>
        <r>
          <rPr>
            <sz val="9"/>
            <color rgb="FF000000"/>
            <rFont val="Tahoma"/>
            <family val="2"/>
          </rPr>
          <t>Includes discrepancies in changes in inventories due to balancing</t>
        </r>
      </text>
    </comment>
    <comment ref="D132" authorId="2" shapeId="0">
      <text>
        <r>
          <rPr>
            <sz val="9"/>
            <color rgb="FF000000"/>
            <rFont val="Tahoma"/>
            <family val="2"/>
          </rPr>
          <t>Includes discrepancies in changes in inventories due to balancing</t>
        </r>
      </text>
    </comment>
    <comment ref="D133" authorId="2" shapeId="0">
      <text>
        <r>
          <rPr>
            <sz val="9"/>
            <color rgb="FF000000"/>
            <rFont val="Tahoma"/>
            <family val="2"/>
          </rPr>
          <t>Includes discrepancies in changes in inventories due to balancing</t>
        </r>
      </text>
    </comment>
    <comment ref="D134" authorId="2" shapeId="0">
      <text>
        <r>
          <rPr>
            <sz val="9"/>
            <color rgb="FF000000"/>
            <rFont val="Tahoma"/>
            <family val="2"/>
          </rPr>
          <t>Includes discrepancies in changes in inventories due to balancing</t>
        </r>
      </text>
    </comment>
    <comment ref="D135" authorId="2" shapeId="0">
      <text>
        <r>
          <rPr>
            <sz val="9"/>
            <color rgb="FF000000"/>
            <rFont val="Tahoma"/>
            <family val="2"/>
          </rPr>
          <t>Includes discrepancies in changes in inventories due to balancing</t>
        </r>
      </text>
    </comment>
    <comment ref="D136" authorId="2" shapeId="0">
      <text>
        <r>
          <rPr>
            <sz val="9"/>
            <color rgb="FF000000"/>
            <rFont val="Tahoma"/>
            <family val="2"/>
          </rPr>
          <t>Includes discrepancies in changes in inventories due to balancing</t>
        </r>
      </text>
    </comment>
    <comment ref="D137" authorId="2" shapeId="0">
      <text>
        <r>
          <rPr>
            <sz val="9"/>
            <color rgb="FF000000"/>
            <rFont val="Tahoma"/>
            <family val="2"/>
          </rPr>
          <t>Includes discrepancies in changes in inventories due to balancing</t>
        </r>
      </text>
    </comment>
    <comment ref="D138" authorId="2" shapeId="0">
      <text>
        <r>
          <rPr>
            <sz val="9"/>
            <color rgb="FF000000"/>
            <rFont val="Tahoma"/>
            <family val="2"/>
          </rPr>
          <t>Includes discrepancies in changes in inventories due to balancing</t>
        </r>
      </text>
    </comment>
    <comment ref="D139" authorId="2" shapeId="0">
      <text>
        <r>
          <rPr>
            <sz val="9"/>
            <color rgb="FF000000"/>
            <rFont val="Tahoma"/>
            <family val="2"/>
          </rPr>
          <t>Includes discrepancies in changes in inventories due to balancing</t>
        </r>
      </text>
    </comment>
    <comment ref="D140" authorId="2" shapeId="0">
      <text>
        <r>
          <rPr>
            <sz val="9"/>
            <color rgb="FF000000"/>
            <rFont val="Tahoma"/>
            <family val="2"/>
          </rPr>
          <t>Includes discrepancies in changes in inventories due to balancing</t>
        </r>
      </text>
    </comment>
    <comment ref="D141" authorId="2" shapeId="0">
      <text>
        <r>
          <rPr>
            <sz val="9"/>
            <color rgb="FF000000"/>
            <rFont val="Tahoma"/>
            <family val="2"/>
          </rPr>
          <t>Includes discrepancies in changes in inventories due to balancing</t>
        </r>
      </text>
    </comment>
    <comment ref="D142" authorId="2" shapeId="0">
      <text>
        <r>
          <rPr>
            <sz val="9"/>
            <color rgb="FF000000"/>
            <rFont val="Tahoma"/>
            <family val="2"/>
          </rPr>
          <t>Includes discrepancies in changes in inventories due to balancing</t>
        </r>
      </text>
    </comment>
    <comment ref="D143" authorId="2" shapeId="0">
      <text>
        <r>
          <rPr>
            <sz val="9"/>
            <color rgb="FF000000"/>
            <rFont val="Tahoma"/>
            <family val="2"/>
          </rPr>
          <t>Includes discrepancies in changes in inventories due to balancing</t>
        </r>
      </text>
    </comment>
    <comment ref="D144" authorId="2" shapeId="0">
      <text>
        <r>
          <rPr>
            <sz val="9"/>
            <color rgb="FF000000"/>
            <rFont val="Tahoma"/>
            <family val="2"/>
          </rPr>
          <t>Includes discrepancies in changes in inventories due to balancing</t>
        </r>
      </text>
    </comment>
    <comment ref="D145" authorId="2" shapeId="0">
      <text>
        <r>
          <rPr>
            <sz val="9"/>
            <color rgb="FF000000"/>
            <rFont val="Tahoma"/>
            <family val="2"/>
          </rPr>
          <t>Includes discrepancies in changes in inventories due to balancing</t>
        </r>
      </text>
    </comment>
    <comment ref="D146" authorId="2" shapeId="0">
      <text>
        <r>
          <rPr>
            <sz val="9"/>
            <color rgb="FF000000"/>
            <rFont val="Tahoma"/>
            <family val="2"/>
          </rPr>
          <t>Includes discrepancies in changes in inventories due to balancing</t>
        </r>
      </text>
    </comment>
    <comment ref="D147" authorId="2" shapeId="0">
      <text>
        <r>
          <rPr>
            <sz val="9"/>
            <color rgb="FF000000"/>
            <rFont val="Tahoma"/>
            <family val="2"/>
          </rPr>
          <t>Includes discrepancies in changes in inventories due to balancing</t>
        </r>
      </text>
    </comment>
    <comment ref="D148" authorId="2" shapeId="0">
      <text>
        <r>
          <rPr>
            <sz val="9"/>
            <color rgb="FF000000"/>
            <rFont val="Tahoma"/>
            <family val="2"/>
          </rPr>
          <t>Includes discrepancies in changes in inventories due to balancing</t>
        </r>
      </text>
    </comment>
    <comment ref="D149" authorId="2" shapeId="0">
      <text>
        <r>
          <rPr>
            <sz val="9"/>
            <color rgb="FF000000"/>
            <rFont val="Tahoma"/>
            <family val="2"/>
          </rPr>
          <t>Includes discrepancies in changes in inventories due to balancing</t>
        </r>
      </text>
    </comment>
    <comment ref="D150" authorId="2" shapeId="0">
      <text>
        <r>
          <rPr>
            <sz val="9"/>
            <color rgb="FF000000"/>
            <rFont val="Tahoma"/>
            <family val="2"/>
          </rPr>
          <t>Includes discrepancies in changes in inventories due to balancing</t>
        </r>
      </text>
    </comment>
    <comment ref="D151" authorId="2" shapeId="0">
      <text>
        <r>
          <rPr>
            <sz val="9"/>
            <color rgb="FF000000"/>
            <rFont val="Tahoma"/>
            <family val="2"/>
          </rPr>
          <t>Includes discrepancies in changes in inventories due to balancing</t>
        </r>
      </text>
    </comment>
    <comment ref="D152" authorId="2" shapeId="0">
      <text>
        <r>
          <rPr>
            <sz val="9"/>
            <color rgb="FF000000"/>
            <rFont val="Tahoma"/>
            <family val="2"/>
          </rPr>
          <t>Includes discrepancies in changes in inventories due to balancing</t>
        </r>
      </text>
    </comment>
    <comment ref="D153" authorId="2" shapeId="0">
      <text>
        <r>
          <rPr>
            <sz val="9"/>
            <color rgb="FF000000"/>
            <rFont val="Tahoma"/>
            <family val="2"/>
          </rPr>
          <t>Includes discrepancies in changes in inventories due to balancing</t>
        </r>
      </text>
    </comment>
    <comment ref="D154" authorId="2" shapeId="0">
      <text>
        <r>
          <rPr>
            <sz val="9"/>
            <color rgb="FF000000"/>
            <rFont val="Tahoma"/>
            <family val="2"/>
          </rPr>
          <t>Includes discrepancies in changes in inventories due to balancing</t>
        </r>
      </text>
    </comment>
    <comment ref="D155" authorId="2" shapeId="0">
      <text>
        <r>
          <rPr>
            <sz val="9"/>
            <color rgb="FF000000"/>
            <rFont val="Tahoma"/>
            <family val="2"/>
          </rPr>
          <t>Includes discrepancies in changes in inventories due to balancing</t>
        </r>
      </text>
    </comment>
    <comment ref="D156" authorId="2" shapeId="0">
      <text>
        <r>
          <rPr>
            <sz val="9"/>
            <color rgb="FF000000"/>
            <rFont val="Tahoma"/>
            <family val="2"/>
          </rPr>
          <t>Includes discrepancies in changes in inventories due to balancing</t>
        </r>
      </text>
    </comment>
    <comment ref="D157" authorId="2" shapeId="0">
      <text>
        <r>
          <rPr>
            <sz val="9"/>
            <color rgb="FF000000"/>
            <rFont val="Tahoma"/>
            <family val="2"/>
          </rPr>
          <t>Includes discrepancies in changes in inventories due to balancing</t>
        </r>
      </text>
    </comment>
    <comment ref="D158" authorId="2" shapeId="0">
      <text>
        <r>
          <rPr>
            <sz val="9"/>
            <color rgb="FF000000"/>
            <rFont val="Tahoma"/>
            <family val="2"/>
          </rPr>
          <t>Includes discrepancies in changes in inventories due to balancing</t>
        </r>
      </text>
    </comment>
    <comment ref="D159" authorId="2" shapeId="0">
      <text>
        <r>
          <rPr>
            <sz val="9"/>
            <color rgb="FF000000"/>
            <rFont val="Tahoma"/>
            <family val="2"/>
          </rPr>
          <t>Includes discrepancies in changes in inventories due to balancing</t>
        </r>
      </text>
    </comment>
    <comment ref="D160" authorId="2" shapeId="0">
      <text>
        <r>
          <rPr>
            <sz val="9"/>
            <color rgb="FF000000"/>
            <rFont val="Tahoma"/>
            <family val="2"/>
          </rPr>
          <t>Includes discrepancies in changes in inventories due to balancing</t>
        </r>
      </text>
    </comment>
    <comment ref="D161" authorId="2" shapeId="0">
      <text>
        <r>
          <rPr>
            <sz val="9"/>
            <color rgb="FF000000"/>
            <rFont val="Tahoma"/>
            <family val="2"/>
          </rPr>
          <t>Includes discrepancies in changes in inventories due to balancing</t>
        </r>
      </text>
    </comment>
    <comment ref="D162" authorId="2" shapeId="0">
      <text>
        <r>
          <rPr>
            <sz val="9"/>
            <color rgb="FF000000"/>
            <rFont val="Tahoma"/>
            <family val="2"/>
          </rPr>
          <t>Includes discrepancies in changes in inventories due to balancing</t>
        </r>
      </text>
    </comment>
    <comment ref="D163" authorId="2" shapeId="0">
      <text>
        <r>
          <rPr>
            <sz val="9"/>
            <color rgb="FF000000"/>
            <rFont val="Tahoma"/>
            <family val="2"/>
          </rPr>
          <t>Includes discrepancies in changes in inventories due to balancing</t>
        </r>
      </text>
    </comment>
    <comment ref="D164" authorId="2" shapeId="0">
      <text>
        <r>
          <rPr>
            <sz val="9"/>
            <color rgb="FF000000"/>
            <rFont val="Tahoma"/>
            <family val="2"/>
          </rPr>
          <t>Includes discrepancies in changes in inventories due to balancing</t>
        </r>
      </text>
    </comment>
    <comment ref="D165" authorId="2" shapeId="0">
      <text>
        <r>
          <rPr>
            <sz val="9"/>
            <color rgb="FF000000"/>
            <rFont val="Tahoma"/>
            <family val="2"/>
          </rPr>
          <t>Includes discrepancies in changes in inventories due to balancing</t>
        </r>
      </text>
    </comment>
    <comment ref="D166" authorId="2" shapeId="0">
      <text>
        <r>
          <rPr>
            <sz val="9"/>
            <color rgb="FF000000"/>
            <rFont val="Tahoma"/>
            <family val="2"/>
          </rPr>
          <t>Includes discrepancies in changes in inventories due to balancing</t>
        </r>
      </text>
    </comment>
    <comment ref="D167" authorId="2" shapeId="0">
      <text>
        <r>
          <rPr>
            <sz val="9"/>
            <color rgb="FF000000"/>
            <rFont val="Tahoma"/>
            <family val="2"/>
          </rPr>
          <t>Includes discrepancies in changes in inventories due to balancing</t>
        </r>
      </text>
    </comment>
    <comment ref="D168" authorId="2" shapeId="0">
      <text>
        <r>
          <rPr>
            <sz val="9"/>
            <color rgb="FF000000"/>
            <rFont val="Tahoma"/>
            <family val="2"/>
          </rPr>
          <t>Includes discrepancies in changes in inventories due to balancing</t>
        </r>
      </text>
    </comment>
    <comment ref="D169" authorId="2" shapeId="0">
      <text>
        <r>
          <rPr>
            <sz val="9"/>
            <color rgb="FF000000"/>
            <rFont val="Tahoma"/>
            <family val="2"/>
          </rPr>
          <t>Includes discrepancies in changes in inventories due to balancing</t>
        </r>
      </text>
    </comment>
    <comment ref="D170" authorId="2" shapeId="0">
      <text>
        <r>
          <rPr>
            <sz val="9"/>
            <color rgb="FF000000"/>
            <rFont val="Tahoma"/>
            <family val="2"/>
          </rPr>
          <t>Includes discrepancies in changes in inventories due to balancing</t>
        </r>
      </text>
    </comment>
    <comment ref="D171" authorId="2" shapeId="0">
      <text>
        <r>
          <rPr>
            <sz val="9"/>
            <color rgb="FF000000"/>
            <rFont val="Tahoma"/>
            <family val="2"/>
          </rPr>
          <t>Includes discrepancies in changes in inventories due to balancing</t>
        </r>
      </text>
    </comment>
    <comment ref="D172" authorId="2" shapeId="0">
      <text>
        <r>
          <rPr>
            <sz val="9"/>
            <color rgb="FF000000"/>
            <rFont val="Tahoma"/>
            <family val="2"/>
          </rPr>
          <t>Includes discrepancies in changes in inventories due to balancing</t>
        </r>
      </text>
    </comment>
    <comment ref="D173" authorId="2" shapeId="0">
      <text>
        <r>
          <rPr>
            <sz val="9"/>
            <color rgb="FF000000"/>
            <rFont val="Tahoma"/>
            <family val="2"/>
          </rPr>
          <t>Includes discrepancies in changes in inventories due to balancing</t>
        </r>
      </text>
    </comment>
    <comment ref="D174" authorId="2" shapeId="0">
      <text>
        <r>
          <rPr>
            <sz val="9"/>
            <color rgb="FF000000"/>
            <rFont val="Tahoma"/>
            <family val="2"/>
          </rPr>
          <t>Includes discrepancies in changes in inventories due to balancing</t>
        </r>
      </text>
    </comment>
    <comment ref="D175" authorId="2" shapeId="0">
      <text>
        <r>
          <rPr>
            <sz val="9"/>
            <color rgb="FF000000"/>
            <rFont val="Tahoma"/>
            <family val="2"/>
          </rPr>
          <t>Includes discrepancies in changes in inventories due to balancing</t>
        </r>
      </text>
    </comment>
    <comment ref="D176" authorId="2" shapeId="0">
      <text>
        <r>
          <rPr>
            <sz val="9"/>
            <color rgb="FF000000"/>
            <rFont val="Tahoma"/>
            <family val="2"/>
          </rPr>
          <t>Includes discrepancies in changes in inventories due to balancing</t>
        </r>
      </text>
    </comment>
    <comment ref="D177" authorId="2" shapeId="0">
      <text>
        <r>
          <rPr>
            <sz val="9"/>
            <color rgb="FF000000"/>
            <rFont val="Tahoma"/>
            <family val="2"/>
          </rPr>
          <t>Includes discrepancies in changes in inventories due to balancing</t>
        </r>
      </text>
    </comment>
    <comment ref="D178" authorId="2" shapeId="0">
      <text>
        <r>
          <rPr>
            <sz val="9"/>
            <color rgb="FF000000"/>
            <rFont val="Tahoma"/>
            <family val="2"/>
          </rPr>
          <t>Includes discrepancies in changes in inventories due to balancing</t>
        </r>
      </text>
    </comment>
    <comment ref="D179" authorId="2" shapeId="0">
      <text>
        <r>
          <rPr>
            <sz val="9"/>
            <color rgb="FF000000"/>
            <rFont val="Tahoma"/>
            <family val="2"/>
          </rPr>
          <t>Includes discrepancies in changes in inventories due to balancing</t>
        </r>
      </text>
    </comment>
    <comment ref="D180" authorId="2" shapeId="0">
      <text>
        <r>
          <rPr>
            <sz val="9"/>
            <color rgb="FF000000"/>
            <rFont val="Tahoma"/>
            <family val="2"/>
          </rPr>
          <t>Includes discrepancies in changes in inventories due to balancing</t>
        </r>
      </text>
    </comment>
    <comment ref="D181" authorId="2" shapeId="0">
      <text>
        <r>
          <rPr>
            <sz val="9"/>
            <color rgb="FF000000"/>
            <rFont val="Tahoma"/>
            <family val="2"/>
          </rPr>
          <t>Includes discrepancies in changes in inventories due to balancing</t>
        </r>
      </text>
    </comment>
    <comment ref="D182" authorId="2" shapeId="0">
      <text>
        <r>
          <rPr>
            <sz val="9"/>
            <color rgb="FF000000"/>
            <rFont val="Tahoma"/>
            <family val="2"/>
          </rPr>
          <t>Includes discrepancies in changes in inventories due to balancing</t>
        </r>
      </text>
    </comment>
    <comment ref="D183" authorId="2" shapeId="0">
      <text>
        <r>
          <rPr>
            <sz val="9"/>
            <color rgb="FF000000"/>
            <rFont val="Tahoma"/>
            <family val="2"/>
          </rPr>
          <t>Includes discrepancies in changes in inventories due to balancing</t>
        </r>
      </text>
    </comment>
    <comment ref="D184" authorId="2" shapeId="0">
      <text>
        <r>
          <rPr>
            <sz val="9"/>
            <color rgb="FF000000"/>
            <rFont val="Tahoma"/>
            <family val="2"/>
          </rPr>
          <t>Includes discrepancies in changes in inventories due to balancing</t>
        </r>
      </text>
    </comment>
    <comment ref="D185" authorId="2" shapeId="0">
      <text>
        <r>
          <rPr>
            <sz val="9"/>
            <color rgb="FF000000"/>
            <rFont val="Tahoma"/>
            <family val="2"/>
          </rPr>
          <t>Includes discrepancies in changes in inventories due to balancing</t>
        </r>
      </text>
    </comment>
    <comment ref="D186" authorId="2" shapeId="0">
      <text>
        <r>
          <rPr>
            <sz val="9"/>
            <color rgb="FF000000"/>
            <rFont val="Tahoma"/>
            <family val="2"/>
          </rPr>
          <t>Includes discrepancies in changes in inventories due to balancing</t>
        </r>
      </text>
    </comment>
    <comment ref="D187" authorId="2" shapeId="0">
      <text>
        <r>
          <rPr>
            <sz val="9"/>
            <color rgb="FF000000"/>
            <rFont val="Tahoma"/>
            <family val="2"/>
          </rPr>
          <t>Includes discrepancies in changes in inventories due to balancing</t>
        </r>
      </text>
    </comment>
    <comment ref="D188" authorId="2" shapeId="0">
      <text>
        <r>
          <rPr>
            <sz val="9"/>
            <color rgb="FF000000"/>
            <rFont val="Tahoma"/>
            <family val="2"/>
          </rPr>
          <t>Includes discrepancies in changes in inventories due to balancing</t>
        </r>
      </text>
    </comment>
    <comment ref="D189" authorId="2" shapeId="0">
      <text>
        <r>
          <rPr>
            <sz val="9"/>
            <color rgb="FF000000"/>
            <rFont val="Tahoma"/>
            <family val="2"/>
          </rPr>
          <t>Includes discrepancies in changes in inventories due to balancing</t>
        </r>
      </text>
    </comment>
    <comment ref="D190" authorId="2" shapeId="0">
      <text>
        <r>
          <rPr>
            <sz val="9"/>
            <color rgb="FF000000"/>
            <rFont val="Tahoma"/>
            <family val="2"/>
          </rPr>
          <t>Includes discrepancies in changes in inventories due to balancing</t>
        </r>
      </text>
    </comment>
    <comment ref="D191" authorId="2" shapeId="0">
      <text>
        <r>
          <rPr>
            <sz val="9"/>
            <color rgb="FF000000"/>
            <rFont val="Tahoma"/>
            <family val="2"/>
          </rPr>
          <t>Includes discrepancies in changes in inventories due to balancing</t>
        </r>
      </text>
    </comment>
    <comment ref="D192" authorId="2" shapeId="0">
      <text>
        <r>
          <rPr>
            <sz val="9"/>
            <color rgb="FF000000"/>
            <rFont val="Tahoma"/>
            <family val="2"/>
          </rPr>
          <t>Includes discrepancies in changes in inventories due to balancing</t>
        </r>
      </text>
    </comment>
    <comment ref="D193" authorId="2" shapeId="0">
      <text>
        <r>
          <rPr>
            <sz val="9"/>
            <color rgb="FF000000"/>
            <rFont val="Tahoma"/>
            <family val="2"/>
          </rPr>
          <t>Includes discrepancies in changes in inventories due to balancing</t>
        </r>
      </text>
    </comment>
    <comment ref="D194" authorId="2" shapeId="0">
      <text>
        <r>
          <rPr>
            <sz val="9"/>
            <color rgb="FF000000"/>
            <rFont val="Tahoma"/>
            <family val="2"/>
          </rPr>
          <t>Includes discrepancies in changes in inventories due to balancing</t>
        </r>
      </text>
    </comment>
    <comment ref="D195" authorId="2" shapeId="0">
      <text>
        <r>
          <rPr>
            <sz val="9"/>
            <color rgb="FF000000"/>
            <rFont val="Tahoma"/>
            <family val="2"/>
          </rPr>
          <t>Includes discrepancies in changes in inventories due to balancing</t>
        </r>
      </text>
    </comment>
    <comment ref="D196" authorId="2" shapeId="0">
      <text>
        <r>
          <rPr>
            <sz val="9"/>
            <color rgb="FF000000"/>
            <rFont val="Tahoma"/>
            <family val="2"/>
          </rPr>
          <t>Includes discrepancies in changes in inventories due to balancing</t>
        </r>
      </text>
    </comment>
    <comment ref="D197" authorId="2" shapeId="0">
      <text>
        <r>
          <rPr>
            <sz val="9"/>
            <color rgb="FF000000"/>
            <rFont val="Tahoma"/>
            <family val="2"/>
          </rPr>
          <t>Includes discrepancies in changes in inventories due to balancing</t>
        </r>
      </text>
    </comment>
    <comment ref="D198" authorId="2" shapeId="0">
      <text>
        <r>
          <rPr>
            <sz val="9"/>
            <color rgb="FF000000"/>
            <rFont val="Tahoma"/>
            <family val="2"/>
          </rPr>
          <t>Includes discrepancies in changes in inventories due to balancing</t>
        </r>
      </text>
    </comment>
    <comment ref="D199" authorId="2" shapeId="0">
      <text>
        <r>
          <rPr>
            <sz val="9"/>
            <color rgb="FF000000"/>
            <rFont val="Tahoma"/>
            <family val="2"/>
          </rPr>
          <t>Includes discrepancies in changes in inventories due to balancing</t>
        </r>
      </text>
    </comment>
    <comment ref="D200" authorId="2" shapeId="0">
      <text>
        <r>
          <rPr>
            <sz val="9"/>
            <color rgb="FF000000"/>
            <rFont val="Tahoma"/>
            <family val="2"/>
          </rPr>
          <t>Includes discrepancies in changes in inventories due to balancing</t>
        </r>
      </text>
    </comment>
    <comment ref="D201" authorId="2" shapeId="0">
      <text>
        <r>
          <rPr>
            <sz val="9"/>
            <color rgb="FF000000"/>
            <rFont val="Tahoma"/>
            <family val="2"/>
          </rPr>
          <t>Includes discrepancies in changes in inventories due to balancing</t>
        </r>
      </text>
    </comment>
    <comment ref="D202" authorId="2" shapeId="0">
      <text>
        <r>
          <rPr>
            <sz val="9"/>
            <color rgb="FF000000"/>
            <rFont val="Tahoma"/>
            <family val="2"/>
          </rPr>
          <t>Includes discrepancies in changes in inventories due to balancing</t>
        </r>
      </text>
    </comment>
    <comment ref="D203" authorId="2" shapeId="0">
      <text>
        <r>
          <rPr>
            <sz val="9"/>
            <color rgb="FF000000"/>
            <rFont val="Tahoma"/>
            <family val="2"/>
          </rPr>
          <t>Includes discrepancies in changes in inventories due to balancing</t>
        </r>
      </text>
    </comment>
    <comment ref="D204" authorId="2" shapeId="0">
      <text>
        <r>
          <rPr>
            <sz val="9"/>
            <color rgb="FF000000"/>
            <rFont val="Tahoma"/>
            <family val="2"/>
          </rPr>
          <t>Includes discrepancies in changes in inventories due to balancing</t>
        </r>
      </text>
    </comment>
    <comment ref="D205" authorId="2" shapeId="0">
      <text>
        <r>
          <rPr>
            <sz val="9"/>
            <color rgb="FF000000"/>
            <rFont val="Tahoma"/>
            <family val="2"/>
          </rPr>
          <t>Includes discrepancies in changes in inventories due to balancing</t>
        </r>
      </text>
    </comment>
    <comment ref="D206" authorId="2" shapeId="0">
      <text>
        <r>
          <rPr>
            <sz val="9"/>
            <color rgb="FF000000"/>
            <rFont val="Tahoma"/>
            <family val="2"/>
          </rPr>
          <t>Includes discrepancies in changes in inventories due to balancing</t>
        </r>
      </text>
    </comment>
    <comment ref="D207" authorId="2" shapeId="0">
      <text>
        <r>
          <rPr>
            <sz val="9"/>
            <color rgb="FF000000"/>
            <rFont val="Tahoma"/>
            <family val="2"/>
          </rPr>
          <t>Includes discrepancies in changes in inventories due to balancing</t>
        </r>
      </text>
    </comment>
    <comment ref="D208" authorId="2" shapeId="0">
      <text>
        <r>
          <rPr>
            <sz val="9"/>
            <color rgb="FF000000"/>
            <rFont val="Tahoma"/>
            <family val="2"/>
          </rPr>
          <t>Includes discrepancies in changes in inventories due to balancing</t>
        </r>
      </text>
    </comment>
    <comment ref="D209" authorId="2" shapeId="0">
      <text>
        <r>
          <rPr>
            <sz val="9"/>
            <color rgb="FF000000"/>
            <rFont val="Tahoma"/>
            <family val="2"/>
          </rPr>
          <t>Includes discrepancies in changes in inventories due to balancing</t>
        </r>
      </text>
    </comment>
    <comment ref="D210" authorId="2" shapeId="0">
      <text>
        <r>
          <rPr>
            <sz val="9"/>
            <color rgb="FF000000"/>
            <rFont val="Tahoma"/>
            <family val="2"/>
          </rPr>
          <t>Includes discrepancies in changes in inventories due to balancing</t>
        </r>
      </text>
    </comment>
    <comment ref="D211" authorId="2" shapeId="0">
      <text>
        <r>
          <rPr>
            <sz val="9"/>
            <color rgb="FF000000"/>
            <rFont val="Tahoma"/>
            <family val="2"/>
          </rPr>
          <t>Includes discrepancies in changes in inventories due to balancing</t>
        </r>
      </text>
    </comment>
    <comment ref="D212" authorId="2" shapeId="0">
      <text>
        <r>
          <rPr>
            <sz val="9"/>
            <color rgb="FF000000"/>
            <rFont val="Tahoma"/>
            <family val="2"/>
          </rPr>
          <t>Includes discrepancies in changes in inventories due to balancing</t>
        </r>
      </text>
    </comment>
    <comment ref="D213" authorId="2" shapeId="0">
      <text>
        <r>
          <rPr>
            <sz val="9"/>
            <color rgb="FF000000"/>
            <rFont val="Tahoma"/>
            <family val="2"/>
          </rPr>
          <t>Includes discrepancies in changes in inventories due to balancing</t>
        </r>
      </text>
    </comment>
    <comment ref="D214" authorId="2" shapeId="0">
      <text>
        <r>
          <rPr>
            <sz val="9"/>
            <color rgb="FF000000"/>
            <rFont val="Tahoma"/>
            <family val="2"/>
          </rPr>
          <t>Includes discrepancies in changes in inventories due to balancing</t>
        </r>
      </text>
    </comment>
    <comment ref="D215" authorId="2" shapeId="0">
      <text>
        <r>
          <rPr>
            <sz val="9"/>
            <color rgb="FF000000"/>
            <rFont val="Tahoma"/>
            <family val="2"/>
          </rPr>
          <t>Includes discrepancies in changes in inventories due to balancing</t>
        </r>
      </text>
    </comment>
    <comment ref="D216" authorId="2" shapeId="0">
      <text>
        <r>
          <rPr>
            <sz val="9"/>
            <color rgb="FF000000"/>
            <rFont val="Tahoma"/>
            <family val="2"/>
          </rPr>
          <t>Includes discrepancies in changes in inventories due to balancing</t>
        </r>
      </text>
    </comment>
    <comment ref="D217" authorId="2" shapeId="0">
      <text>
        <r>
          <rPr>
            <sz val="9"/>
            <color rgb="FF000000"/>
            <rFont val="Tahoma"/>
            <family val="2"/>
          </rPr>
          <t>Includes discrepancies in changes in inventories due to balancing</t>
        </r>
      </text>
    </comment>
    <comment ref="D218" authorId="2" shapeId="0">
      <text>
        <r>
          <rPr>
            <sz val="9"/>
            <color rgb="FF000000"/>
            <rFont val="Tahoma"/>
            <family val="2"/>
          </rPr>
          <t>Includes discrepancies in changes in inventories due to balancing</t>
        </r>
      </text>
    </comment>
    <comment ref="D219" authorId="2" shapeId="0">
      <text>
        <r>
          <rPr>
            <sz val="9"/>
            <color rgb="FF000000"/>
            <rFont val="Tahoma"/>
            <family val="2"/>
          </rPr>
          <t>Includes discrepancies in changes in inventories due to balancing</t>
        </r>
      </text>
    </comment>
    <comment ref="D220" authorId="2" shapeId="0">
      <text>
        <r>
          <rPr>
            <sz val="9"/>
            <color rgb="FF000000"/>
            <rFont val="Tahoma"/>
            <family val="2"/>
          </rPr>
          <t>Includes discrepancies in changes in inventories due to balancing</t>
        </r>
      </text>
    </comment>
    <comment ref="H237" authorId="0" shapeId="0">
      <text>
        <r>
          <rPr>
            <b/>
            <sz val="9"/>
            <color indexed="81"/>
            <rFont val="Tahoma"/>
            <family val="2"/>
          </rPr>
          <t>PULSE Electronics:</t>
        </r>
        <r>
          <rPr>
            <sz val="9"/>
            <color indexed="81"/>
            <rFont val="Tahoma"/>
            <family val="2"/>
          </rPr>
          <t xml:space="preserve">
PENW table delta2000-2019
</t>
        </r>
      </text>
    </comment>
    <comment ref="I237" authorId="1" shapeId="0">
      <text>
        <r>
          <rPr>
            <sz val="9"/>
            <color indexed="81"/>
            <rFont val="Tahoma"/>
            <family val="2"/>
          </rPr>
          <t xml:space="preserve">
The capital stock series is not detrended because the maximum potential contribution of capital is given by
the full utilisation of the existing capital in the economy. </t>
        </r>
      </text>
    </comment>
    <comment ref="J237" authorId="1" shapeId="0">
      <text>
        <r>
          <rPr>
            <sz val="9"/>
            <color indexed="81"/>
            <rFont val="Tahoma"/>
            <family val="2"/>
          </rPr>
          <t>Nr of Employees
in mil</t>
        </r>
      </text>
    </comment>
    <comment ref="D238" authorId="2" shapeId="0">
      <text>
        <r>
          <rPr>
            <sz val="9"/>
            <color rgb="FF000000"/>
            <rFont val="Tahoma"/>
            <family val="2"/>
          </rPr>
          <t>Includes discrepancies in changes in inventories due to balancing</t>
        </r>
      </text>
    </comment>
    <comment ref="D239" authorId="2" shapeId="0">
      <text>
        <r>
          <rPr>
            <sz val="9"/>
            <color rgb="FF000000"/>
            <rFont val="Tahoma"/>
            <family val="2"/>
          </rPr>
          <t>Includes discrepancies in changes in inventories due to balancing</t>
        </r>
      </text>
    </comment>
    <comment ref="D240" authorId="2" shapeId="0">
      <text>
        <r>
          <rPr>
            <sz val="9"/>
            <color rgb="FF000000"/>
            <rFont val="Tahoma"/>
            <family val="2"/>
          </rPr>
          <t>Includes discrepancies in changes in inventories due to balancing</t>
        </r>
      </text>
    </comment>
    <comment ref="D241" authorId="2" shapeId="0">
      <text>
        <r>
          <rPr>
            <sz val="9"/>
            <color rgb="FF000000"/>
            <rFont val="Tahoma"/>
            <family val="2"/>
          </rPr>
          <t>Includes discrepancies in changes in inventories due to balancing</t>
        </r>
      </text>
    </comment>
    <comment ref="D242" authorId="2" shapeId="0">
      <text>
        <r>
          <rPr>
            <sz val="9"/>
            <color rgb="FF000000"/>
            <rFont val="Tahoma"/>
            <family val="2"/>
          </rPr>
          <t>Includes discrepancies in changes in inventories due to balancing</t>
        </r>
      </text>
    </comment>
    <comment ref="D243" authorId="2" shapeId="0">
      <text>
        <r>
          <rPr>
            <sz val="9"/>
            <color rgb="FF000000"/>
            <rFont val="Tahoma"/>
            <family val="2"/>
          </rPr>
          <t>Includes discrepancies in changes in inventories due to balancing</t>
        </r>
      </text>
    </comment>
    <comment ref="D244" authorId="2" shapeId="0">
      <text>
        <r>
          <rPr>
            <sz val="9"/>
            <color rgb="FF000000"/>
            <rFont val="Tahoma"/>
            <family val="2"/>
          </rPr>
          <t>Includes discrepancies in changes in inventories due to balancing</t>
        </r>
      </text>
    </comment>
    <comment ref="D245" authorId="2" shapeId="0">
      <text>
        <r>
          <rPr>
            <sz val="9"/>
            <color rgb="FF000000"/>
            <rFont val="Tahoma"/>
            <family val="2"/>
          </rPr>
          <t>Includes discrepancies in changes in inventories due to balancing</t>
        </r>
      </text>
    </comment>
    <comment ref="D246" authorId="2" shapeId="0">
      <text>
        <r>
          <rPr>
            <sz val="9"/>
            <color rgb="FF000000"/>
            <rFont val="Tahoma"/>
            <family val="2"/>
          </rPr>
          <t>Includes discrepancies in changes in inventories due to balancing</t>
        </r>
      </text>
    </comment>
    <comment ref="D247" authorId="2" shapeId="0">
      <text>
        <r>
          <rPr>
            <sz val="9"/>
            <color rgb="FF000000"/>
            <rFont val="Tahoma"/>
            <family val="2"/>
          </rPr>
          <t>Includes discrepancies in changes in inventories due to balancing</t>
        </r>
      </text>
    </comment>
    <comment ref="D248" authorId="2" shapeId="0">
      <text>
        <r>
          <rPr>
            <sz val="9"/>
            <color rgb="FF000000"/>
            <rFont val="Tahoma"/>
            <family val="2"/>
          </rPr>
          <t>Includes discrepancies in changes in inventories due to balancing</t>
        </r>
      </text>
    </comment>
    <comment ref="D249" authorId="2" shapeId="0">
      <text>
        <r>
          <rPr>
            <sz val="9"/>
            <color rgb="FF000000"/>
            <rFont val="Tahoma"/>
            <family val="2"/>
          </rPr>
          <t>Includes discrepancies in changes in inventories due to balancing</t>
        </r>
      </text>
    </comment>
    <comment ref="D250" authorId="2" shapeId="0">
      <text>
        <r>
          <rPr>
            <sz val="9"/>
            <color rgb="FF000000"/>
            <rFont val="Tahoma"/>
            <family val="2"/>
          </rPr>
          <t>Includes discrepancies in changes in inventories due to balancing</t>
        </r>
      </text>
    </comment>
    <comment ref="D251" authorId="2" shapeId="0">
      <text>
        <r>
          <rPr>
            <sz val="9"/>
            <color rgb="FF000000"/>
            <rFont val="Tahoma"/>
            <family val="2"/>
          </rPr>
          <t>Includes discrepancies in changes in inventories due to balancing</t>
        </r>
      </text>
    </comment>
    <comment ref="D252" authorId="2" shapeId="0">
      <text>
        <r>
          <rPr>
            <sz val="9"/>
            <color rgb="FF000000"/>
            <rFont val="Tahoma"/>
            <family val="2"/>
          </rPr>
          <t>Includes discrepancies in changes in inventories due to balancing</t>
        </r>
      </text>
    </comment>
    <comment ref="D253" authorId="2" shapeId="0">
      <text>
        <r>
          <rPr>
            <sz val="9"/>
            <color rgb="FF000000"/>
            <rFont val="Tahoma"/>
            <family val="2"/>
          </rPr>
          <t>Includes discrepancies in changes in inventories due to balancing</t>
        </r>
      </text>
    </comment>
    <comment ref="D254" authorId="2" shapeId="0">
      <text>
        <r>
          <rPr>
            <sz val="9"/>
            <color rgb="FF000000"/>
            <rFont val="Tahoma"/>
            <family val="2"/>
          </rPr>
          <t>Includes discrepancies in changes in inventories due to balancing</t>
        </r>
      </text>
    </comment>
    <comment ref="D255" authorId="2" shapeId="0">
      <text>
        <r>
          <rPr>
            <sz val="9"/>
            <color rgb="FF000000"/>
            <rFont val="Tahoma"/>
            <family val="2"/>
          </rPr>
          <t>Includes discrepancies in changes in inventories due to balancing</t>
        </r>
      </text>
    </comment>
    <comment ref="D256" authorId="2" shapeId="0">
      <text>
        <r>
          <rPr>
            <sz val="9"/>
            <color rgb="FF000000"/>
            <rFont val="Tahoma"/>
            <family val="2"/>
          </rPr>
          <t>Includes discrepancies in changes in inventories due to balancing</t>
        </r>
      </text>
    </comment>
    <comment ref="D257" authorId="2" shapeId="0">
      <text>
        <r>
          <rPr>
            <sz val="9"/>
            <color rgb="FF000000"/>
            <rFont val="Tahoma"/>
            <family val="2"/>
          </rPr>
          <t>Includes discrepancies in changes in inventories due to balancing</t>
        </r>
      </text>
    </comment>
    <comment ref="D258" authorId="2" shapeId="0">
      <text>
        <r>
          <rPr>
            <sz val="9"/>
            <color rgb="FF000000"/>
            <rFont val="Tahoma"/>
            <family val="2"/>
          </rPr>
          <t>Includes discrepancies in changes in inventories due to balancing</t>
        </r>
      </text>
    </comment>
    <comment ref="D259" authorId="2" shapeId="0">
      <text>
        <r>
          <rPr>
            <sz val="9"/>
            <color rgb="FF000000"/>
            <rFont val="Tahoma"/>
            <family val="2"/>
          </rPr>
          <t>Includes discrepancies in changes in inventories due to balancing</t>
        </r>
      </text>
    </comment>
    <comment ref="D260" authorId="2" shapeId="0">
      <text>
        <r>
          <rPr>
            <sz val="9"/>
            <color rgb="FF000000"/>
            <rFont val="Tahoma"/>
            <family val="2"/>
          </rPr>
          <t>Includes discrepancies in changes in inventories due to balancing</t>
        </r>
      </text>
    </comment>
    <comment ref="D261" authorId="2" shapeId="0">
      <text>
        <r>
          <rPr>
            <sz val="9"/>
            <color rgb="FF000000"/>
            <rFont val="Tahoma"/>
            <family val="2"/>
          </rPr>
          <t>Includes discrepancies in changes in inventories due to balancing</t>
        </r>
      </text>
    </comment>
    <comment ref="D262" authorId="2" shapeId="0">
      <text>
        <r>
          <rPr>
            <sz val="9"/>
            <color rgb="FF000000"/>
            <rFont val="Tahoma"/>
            <family val="2"/>
          </rPr>
          <t>Includes discrepancies in changes in inventories due to balancing</t>
        </r>
      </text>
    </comment>
    <comment ref="D263" authorId="2" shapeId="0">
      <text>
        <r>
          <rPr>
            <sz val="9"/>
            <color rgb="FF000000"/>
            <rFont val="Tahoma"/>
            <family val="2"/>
          </rPr>
          <t>Includes discrepancies in changes in inventories due to balancing</t>
        </r>
      </text>
    </comment>
    <comment ref="D264" authorId="2" shapeId="0">
      <text>
        <r>
          <rPr>
            <sz val="9"/>
            <color rgb="FF000000"/>
            <rFont val="Tahoma"/>
            <family val="2"/>
          </rPr>
          <t>Includes discrepancies in changes in inventories due to balancing</t>
        </r>
      </text>
    </comment>
    <comment ref="D265" authorId="2" shapeId="0">
      <text>
        <r>
          <rPr>
            <sz val="9"/>
            <color rgb="FF000000"/>
            <rFont val="Tahoma"/>
            <family val="2"/>
          </rPr>
          <t>Includes discrepancies in changes in inventories due to balancing</t>
        </r>
      </text>
    </comment>
    <comment ref="D266" authorId="2" shapeId="0">
      <text>
        <r>
          <rPr>
            <sz val="9"/>
            <color rgb="FF000000"/>
            <rFont val="Tahoma"/>
            <family val="2"/>
          </rPr>
          <t>Includes discrepancies in changes in inventories due to balancing</t>
        </r>
      </text>
    </comment>
    <comment ref="D267" authorId="2" shapeId="0">
      <text>
        <r>
          <rPr>
            <sz val="9"/>
            <color rgb="FF000000"/>
            <rFont val="Tahoma"/>
            <family val="2"/>
          </rPr>
          <t>Includes discrepancies in changes in inventories due to balancing</t>
        </r>
      </text>
    </comment>
    <comment ref="D268" authorId="2" shapeId="0">
      <text>
        <r>
          <rPr>
            <sz val="9"/>
            <color rgb="FF000000"/>
            <rFont val="Tahoma"/>
            <family val="2"/>
          </rPr>
          <t>Includes discrepancies in changes in inventories due to balancing</t>
        </r>
      </text>
    </comment>
    <comment ref="D269" authorId="2" shapeId="0">
      <text>
        <r>
          <rPr>
            <sz val="9"/>
            <color rgb="FF000000"/>
            <rFont val="Tahoma"/>
            <family val="2"/>
          </rPr>
          <t>Includes discrepancies in changes in inventories due to balancing</t>
        </r>
      </text>
    </comment>
    <comment ref="D270" authorId="2" shapeId="0">
      <text>
        <r>
          <rPr>
            <sz val="9"/>
            <color rgb="FF000000"/>
            <rFont val="Tahoma"/>
            <family val="2"/>
          </rPr>
          <t>Includes discrepancies in changes in inventories due to balancing</t>
        </r>
      </text>
    </comment>
    <comment ref="D271" authorId="2" shapeId="0">
      <text>
        <r>
          <rPr>
            <sz val="9"/>
            <color rgb="FF000000"/>
            <rFont val="Tahoma"/>
            <family val="2"/>
          </rPr>
          <t>Includes discrepancies in changes in inventories due to balancing</t>
        </r>
      </text>
    </comment>
    <comment ref="D272" authorId="2" shapeId="0">
      <text>
        <r>
          <rPr>
            <sz val="9"/>
            <color rgb="FF000000"/>
            <rFont val="Tahoma"/>
            <family val="2"/>
          </rPr>
          <t>Includes discrepancies in changes in inventories due to balancing</t>
        </r>
      </text>
    </comment>
    <comment ref="D273" authorId="2" shapeId="0">
      <text>
        <r>
          <rPr>
            <sz val="9"/>
            <color rgb="FF000000"/>
            <rFont val="Tahoma"/>
            <family val="2"/>
          </rPr>
          <t>Includes discrepancies in changes in inventories due to balancing</t>
        </r>
      </text>
    </comment>
    <comment ref="D274" authorId="2" shapeId="0">
      <text>
        <r>
          <rPr>
            <sz val="9"/>
            <color rgb="FF000000"/>
            <rFont val="Tahoma"/>
            <family val="2"/>
          </rPr>
          <t>Includes discrepancies in changes in inventories due to balancing</t>
        </r>
      </text>
    </comment>
    <comment ref="D275" authorId="2" shapeId="0">
      <text>
        <r>
          <rPr>
            <sz val="9"/>
            <color rgb="FF000000"/>
            <rFont val="Tahoma"/>
            <family val="2"/>
          </rPr>
          <t>Includes discrepancies in changes in inventories due to balancing</t>
        </r>
      </text>
    </comment>
    <comment ref="D276" authorId="2" shapeId="0">
      <text>
        <r>
          <rPr>
            <sz val="9"/>
            <color rgb="FF000000"/>
            <rFont val="Tahoma"/>
            <family val="2"/>
          </rPr>
          <t>Includes discrepancies in changes in inventories due to balancing</t>
        </r>
      </text>
    </comment>
    <comment ref="D277" authorId="2" shapeId="0">
      <text>
        <r>
          <rPr>
            <sz val="9"/>
            <color rgb="FF000000"/>
            <rFont val="Tahoma"/>
            <family val="2"/>
          </rPr>
          <t>Includes discrepancies in changes in inventories due to balancing</t>
        </r>
      </text>
    </comment>
    <comment ref="D278" authorId="2" shapeId="0">
      <text>
        <r>
          <rPr>
            <sz val="9"/>
            <color rgb="FF000000"/>
            <rFont val="Tahoma"/>
            <family val="2"/>
          </rPr>
          <t>Includes discrepancies in changes in inventories due to balancing</t>
        </r>
      </text>
    </comment>
    <comment ref="D279" authorId="2" shapeId="0">
      <text>
        <r>
          <rPr>
            <sz val="9"/>
            <color rgb="FF000000"/>
            <rFont val="Tahoma"/>
            <family val="2"/>
          </rPr>
          <t>Includes discrepancies in changes in inventories due to balancing</t>
        </r>
      </text>
    </comment>
    <comment ref="D280" authorId="2" shapeId="0">
      <text>
        <r>
          <rPr>
            <sz val="9"/>
            <color rgb="FF000000"/>
            <rFont val="Tahoma"/>
            <family val="2"/>
          </rPr>
          <t>Includes discrepancies in changes in inventories due to balancing</t>
        </r>
      </text>
    </comment>
    <comment ref="D281" authorId="2" shapeId="0">
      <text>
        <r>
          <rPr>
            <sz val="9"/>
            <color rgb="FF000000"/>
            <rFont val="Tahoma"/>
            <family val="2"/>
          </rPr>
          <t>Includes discrepancies in changes in inventories due to balancing</t>
        </r>
      </text>
    </comment>
    <comment ref="D282" authorId="2" shapeId="0">
      <text>
        <r>
          <rPr>
            <sz val="9"/>
            <color rgb="FF000000"/>
            <rFont val="Tahoma"/>
            <family val="2"/>
          </rPr>
          <t>Includes discrepancies in changes in inventories due to balancing</t>
        </r>
      </text>
    </comment>
    <comment ref="D283" authorId="2" shapeId="0">
      <text>
        <r>
          <rPr>
            <sz val="9"/>
            <color rgb="FF000000"/>
            <rFont val="Tahoma"/>
            <family val="2"/>
          </rPr>
          <t>Includes discrepancies in changes in inventories due to balancing</t>
        </r>
      </text>
    </comment>
    <comment ref="D284" authorId="2" shapeId="0">
      <text>
        <r>
          <rPr>
            <sz val="9"/>
            <color rgb="FF000000"/>
            <rFont val="Tahoma"/>
            <family val="2"/>
          </rPr>
          <t>Includes discrepancies in changes in inventories due to balancing</t>
        </r>
      </text>
    </comment>
    <comment ref="D285" authorId="2" shapeId="0">
      <text>
        <r>
          <rPr>
            <sz val="9"/>
            <color rgb="FF000000"/>
            <rFont val="Tahoma"/>
            <family val="2"/>
          </rPr>
          <t>Includes discrepancies in changes in inventories due to balancing</t>
        </r>
      </text>
    </comment>
    <comment ref="D286" authorId="2" shapeId="0">
      <text>
        <r>
          <rPr>
            <sz val="9"/>
            <color rgb="FF000000"/>
            <rFont val="Tahoma"/>
            <family val="2"/>
          </rPr>
          <t>Includes discrepancies in changes in inventories due to balancing</t>
        </r>
      </text>
    </comment>
    <comment ref="D287" authorId="2" shapeId="0">
      <text>
        <r>
          <rPr>
            <sz val="9"/>
            <color rgb="FF000000"/>
            <rFont val="Tahoma"/>
            <family val="2"/>
          </rPr>
          <t>Includes discrepancies in changes in inventories due to balancing</t>
        </r>
      </text>
    </comment>
    <comment ref="D288" authorId="2" shapeId="0">
      <text>
        <r>
          <rPr>
            <sz val="9"/>
            <color rgb="FF000000"/>
            <rFont val="Tahoma"/>
            <family val="2"/>
          </rPr>
          <t>Includes discrepancies in changes in inventories due to balancing</t>
        </r>
      </text>
    </comment>
    <comment ref="D289" authorId="2" shapeId="0">
      <text>
        <r>
          <rPr>
            <sz val="9"/>
            <color rgb="FF000000"/>
            <rFont val="Tahoma"/>
            <family val="2"/>
          </rPr>
          <t>Includes discrepancies in changes in inventories due to balancing</t>
        </r>
      </text>
    </comment>
    <comment ref="D290" authorId="2" shapeId="0">
      <text>
        <r>
          <rPr>
            <sz val="9"/>
            <color rgb="FF000000"/>
            <rFont val="Tahoma"/>
            <family val="2"/>
          </rPr>
          <t>Includes discrepancies in changes in inventories due to balancing</t>
        </r>
      </text>
    </comment>
    <comment ref="D291" authorId="2" shapeId="0">
      <text>
        <r>
          <rPr>
            <sz val="9"/>
            <color rgb="FF000000"/>
            <rFont val="Tahoma"/>
            <family val="2"/>
          </rPr>
          <t>Includes discrepancies in changes in inventories due to balancing</t>
        </r>
      </text>
    </comment>
    <comment ref="D292" authorId="2" shapeId="0">
      <text>
        <r>
          <rPr>
            <sz val="9"/>
            <color rgb="FF000000"/>
            <rFont val="Tahoma"/>
            <family val="2"/>
          </rPr>
          <t>Includes discrepancies in changes in inventories due to balancing</t>
        </r>
      </text>
    </comment>
    <comment ref="D293" authorId="2" shapeId="0">
      <text>
        <r>
          <rPr>
            <sz val="9"/>
            <color rgb="FF000000"/>
            <rFont val="Tahoma"/>
            <family val="2"/>
          </rPr>
          <t>Includes discrepancies in changes in inventories due to balancing</t>
        </r>
      </text>
    </comment>
    <comment ref="D294" authorId="2" shapeId="0">
      <text>
        <r>
          <rPr>
            <sz val="9"/>
            <color rgb="FF000000"/>
            <rFont val="Tahoma"/>
            <family val="2"/>
          </rPr>
          <t>Includes discrepancies in changes in inventories due to balancing</t>
        </r>
      </text>
    </comment>
    <comment ref="D295" authorId="2" shapeId="0">
      <text>
        <r>
          <rPr>
            <sz val="9"/>
            <color rgb="FF000000"/>
            <rFont val="Tahoma"/>
            <family val="2"/>
          </rPr>
          <t>Includes discrepancies in changes in inventories due to balancing</t>
        </r>
      </text>
    </comment>
    <comment ref="D296" authorId="2" shapeId="0">
      <text>
        <r>
          <rPr>
            <sz val="9"/>
            <color rgb="FF000000"/>
            <rFont val="Tahoma"/>
            <family val="2"/>
          </rPr>
          <t>Includes discrepancies in changes in inventories due to balancing</t>
        </r>
      </text>
    </comment>
    <comment ref="D297" authorId="2" shapeId="0">
      <text>
        <r>
          <rPr>
            <sz val="9"/>
            <color rgb="FF000000"/>
            <rFont val="Tahoma"/>
            <family val="2"/>
          </rPr>
          <t>Includes discrepancies in changes in inventories due to balancing</t>
        </r>
      </text>
    </comment>
    <comment ref="D298" authorId="2" shapeId="0">
      <text>
        <r>
          <rPr>
            <sz val="9"/>
            <color rgb="FF000000"/>
            <rFont val="Tahoma"/>
            <family val="2"/>
          </rPr>
          <t>Includes discrepancies in changes in inventories due to balancing</t>
        </r>
      </text>
    </comment>
    <comment ref="D299" authorId="2" shapeId="0">
      <text>
        <r>
          <rPr>
            <sz val="9"/>
            <color rgb="FF000000"/>
            <rFont val="Tahoma"/>
            <family val="2"/>
          </rPr>
          <t>Includes discrepancies in changes in inventories due to balancing</t>
        </r>
      </text>
    </comment>
    <comment ref="D300" authorId="2" shapeId="0">
      <text>
        <r>
          <rPr>
            <sz val="9"/>
            <color rgb="FF000000"/>
            <rFont val="Tahoma"/>
            <family val="2"/>
          </rPr>
          <t>Includes discrepancies in changes in inventories due to balancing</t>
        </r>
      </text>
    </comment>
    <comment ref="D301" authorId="2" shapeId="0">
      <text>
        <r>
          <rPr>
            <sz val="9"/>
            <color rgb="FF000000"/>
            <rFont val="Tahoma"/>
            <family val="2"/>
          </rPr>
          <t>Includes discrepancies in changes in inventories due to balancing</t>
        </r>
      </text>
    </comment>
    <comment ref="D302" authorId="2" shapeId="0">
      <text>
        <r>
          <rPr>
            <sz val="9"/>
            <color rgb="FF000000"/>
            <rFont val="Tahoma"/>
            <family val="2"/>
          </rPr>
          <t>Includes discrepancies in changes in inventories due to balancing</t>
        </r>
      </text>
    </comment>
    <comment ref="D303" authorId="2" shapeId="0">
      <text>
        <r>
          <rPr>
            <sz val="9"/>
            <color rgb="FF000000"/>
            <rFont val="Tahoma"/>
            <family val="2"/>
          </rPr>
          <t>Includes discrepancies in changes in inventories due to balancing</t>
        </r>
      </text>
    </comment>
    <comment ref="D304" authorId="2" shapeId="0">
      <text>
        <r>
          <rPr>
            <sz val="9"/>
            <color rgb="FF000000"/>
            <rFont val="Tahoma"/>
            <family val="2"/>
          </rPr>
          <t>Includes discrepancies in changes in inventories due to balancing</t>
        </r>
      </text>
    </comment>
    <comment ref="D305" authorId="2" shapeId="0">
      <text>
        <r>
          <rPr>
            <sz val="9"/>
            <color rgb="FF000000"/>
            <rFont val="Tahoma"/>
            <family val="2"/>
          </rPr>
          <t>Includes discrepancies in changes in inventories due to balancing</t>
        </r>
      </text>
    </comment>
    <comment ref="D306" authorId="2" shapeId="0">
      <text>
        <r>
          <rPr>
            <sz val="9"/>
            <color rgb="FF000000"/>
            <rFont val="Tahoma"/>
            <family val="2"/>
          </rPr>
          <t>Includes discrepancies in changes in inventories due to balancing</t>
        </r>
      </text>
    </comment>
    <comment ref="D307" authorId="2" shapeId="0">
      <text>
        <r>
          <rPr>
            <sz val="9"/>
            <color rgb="FF000000"/>
            <rFont val="Tahoma"/>
            <family val="2"/>
          </rPr>
          <t>Includes discrepancies in changes in inventories due to balancing</t>
        </r>
      </text>
    </comment>
    <comment ref="D308" authorId="2" shapeId="0">
      <text>
        <r>
          <rPr>
            <sz val="9"/>
            <color rgb="FF000000"/>
            <rFont val="Tahoma"/>
            <family val="2"/>
          </rPr>
          <t>Includes discrepancies in changes in inventories due to balancing</t>
        </r>
      </text>
    </comment>
    <comment ref="D309" authorId="2" shapeId="0">
      <text>
        <r>
          <rPr>
            <sz val="9"/>
            <color rgb="FF000000"/>
            <rFont val="Tahoma"/>
            <family val="2"/>
          </rPr>
          <t>Includes discrepancies in changes in inventories due to balancing</t>
        </r>
      </text>
    </comment>
    <comment ref="D310" authorId="2" shapeId="0">
      <text>
        <r>
          <rPr>
            <sz val="9"/>
            <color rgb="FF000000"/>
            <rFont val="Tahoma"/>
            <family val="2"/>
          </rPr>
          <t>Includes discrepancies in changes in inventories due to balancing</t>
        </r>
      </text>
    </comment>
    <comment ref="D311" authorId="2" shapeId="0">
      <text>
        <r>
          <rPr>
            <sz val="9"/>
            <color rgb="FF000000"/>
            <rFont val="Tahoma"/>
            <family val="2"/>
          </rPr>
          <t>Includes discrepancies in changes in inventories due to balancing</t>
        </r>
      </text>
    </comment>
    <comment ref="D312" authorId="2" shapeId="0">
      <text>
        <r>
          <rPr>
            <sz val="9"/>
            <color rgb="FF000000"/>
            <rFont val="Tahoma"/>
            <family val="2"/>
          </rPr>
          <t>Includes discrepancies in changes in inventories due to balancing</t>
        </r>
      </text>
    </comment>
    <comment ref="D313" authorId="2" shapeId="0">
      <text>
        <r>
          <rPr>
            <sz val="9"/>
            <color rgb="FF000000"/>
            <rFont val="Tahoma"/>
            <family val="2"/>
          </rPr>
          <t>Includes discrepancies in changes in inventories due to balancing</t>
        </r>
      </text>
    </comment>
    <comment ref="D314" authorId="2" shapeId="0">
      <text>
        <r>
          <rPr>
            <sz val="9"/>
            <color rgb="FF000000"/>
            <rFont val="Tahoma"/>
            <family val="2"/>
          </rPr>
          <t>Includes discrepancies in changes in inventories due to balancing</t>
        </r>
      </text>
    </comment>
    <comment ref="D315" authorId="2" shapeId="0">
      <text>
        <r>
          <rPr>
            <sz val="9"/>
            <color rgb="FF000000"/>
            <rFont val="Tahoma"/>
            <family val="2"/>
          </rPr>
          <t>Includes discrepancies in changes in inventories due to balancing</t>
        </r>
      </text>
    </comment>
    <comment ref="D316" authorId="2" shapeId="0">
      <text>
        <r>
          <rPr>
            <sz val="9"/>
            <color rgb="FF000000"/>
            <rFont val="Tahoma"/>
            <family val="2"/>
          </rPr>
          <t>Includes discrepancies in changes in inventories due to balancing</t>
        </r>
      </text>
    </comment>
    <comment ref="D317" authorId="2" shapeId="0">
      <text>
        <r>
          <rPr>
            <sz val="9"/>
            <color rgb="FF000000"/>
            <rFont val="Tahoma"/>
            <family val="2"/>
          </rPr>
          <t>Includes discrepancies in changes in inventories due to balancing</t>
        </r>
      </text>
    </comment>
    <comment ref="D318" authorId="2" shapeId="0">
      <text>
        <r>
          <rPr>
            <sz val="9"/>
            <color rgb="FF000000"/>
            <rFont val="Tahoma"/>
            <family val="2"/>
          </rPr>
          <t>Includes discrepancies in changes in inventories due to balancing</t>
        </r>
      </text>
    </comment>
    <comment ref="D319" authorId="2" shapeId="0">
      <text>
        <r>
          <rPr>
            <sz val="9"/>
            <color rgb="FF000000"/>
            <rFont val="Tahoma"/>
            <family val="2"/>
          </rPr>
          <t>Includes discrepancies in changes in inventories due to balancing</t>
        </r>
      </text>
    </comment>
    <comment ref="D320" authorId="2" shapeId="0">
      <text>
        <r>
          <rPr>
            <sz val="9"/>
            <color rgb="FF000000"/>
            <rFont val="Tahoma"/>
            <family val="2"/>
          </rPr>
          <t>Includes discrepancies in changes in inventories due to balancing</t>
        </r>
      </text>
    </comment>
    <comment ref="D321" authorId="2" shapeId="0">
      <text>
        <r>
          <rPr>
            <sz val="9"/>
            <color rgb="FF000000"/>
            <rFont val="Tahoma"/>
            <family val="2"/>
          </rPr>
          <t>Includes discrepancies in changes in inventories due to balancing</t>
        </r>
      </text>
    </comment>
    <comment ref="D322" authorId="2" shapeId="0">
      <text>
        <r>
          <rPr>
            <sz val="9"/>
            <color rgb="FF000000"/>
            <rFont val="Tahoma"/>
            <family val="2"/>
          </rPr>
          <t>Includes discrepancies in changes in inventories due to balancing</t>
        </r>
      </text>
    </comment>
    <comment ref="D323" authorId="2" shapeId="0">
      <text>
        <r>
          <rPr>
            <sz val="9"/>
            <color rgb="FF000000"/>
            <rFont val="Tahoma"/>
            <family val="2"/>
          </rPr>
          <t>Includes discrepancies in changes in inventories due to balancing</t>
        </r>
      </text>
    </comment>
    <comment ref="D324" authorId="2" shapeId="0">
      <text>
        <r>
          <rPr>
            <sz val="9"/>
            <color rgb="FF000000"/>
            <rFont val="Tahoma"/>
            <family val="2"/>
          </rPr>
          <t>Includes discrepancies in changes in inventories due to balancing</t>
        </r>
      </text>
    </comment>
    <comment ref="D325" authorId="2" shapeId="0">
      <text>
        <r>
          <rPr>
            <sz val="9"/>
            <color rgb="FF000000"/>
            <rFont val="Tahoma"/>
            <family val="2"/>
          </rPr>
          <t>Includes discrepancies in changes in inventories due to balancing</t>
        </r>
      </text>
    </comment>
    <comment ref="D326" authorId="2" shapeId="0">
      <text>
        <r>
          <rPr>
            <sz val="9"/>
            <color rgb="FF000000"/>
            <rFont val="Tahoma"/>
            <family val="2"/>
          </rPr>
          <t>Includes discrepancies in changes in inventories due to balancing</t>
        </r>
      </text>
    </comment>
    <comment ref="D327" authorId="2" shapeId="0">
      <text>
        <r>
          <rPr>
            <sz val="9"/>
            <color rgb="FF000000"/>
            <rFont val="Tahoma"/>
            <family val="2"/>
          </rPr>
          <t>Includes discrepancies in changes in inventories due to balancing</t>
        </r>
      </text>
    </comment>
    <comment ref="D328" authorId="2" shapeId="0">
      <text>
        <r>
          <rPr>
            <sz val="9"/>
            <color rgb="FF000000"/>
            <rFont val="Tahoma"/>
            <family val="2"/>
          </rPr>
          <t>Includes discrepancies in changes in inventories due to balancing</t>
        </r>
      </text>
    </comment>
    <comment ref="D329" authorId="2" shapeId="0">
      <text>
        <r>
          <rPr>
            <sz val="9"/>
            <color rgb="FF000000"/>
            <rFont val="Tahoma"/>
            <family val="2"/>
          </rPr>
          <t>Includes discrepancies in changes in inventories due to balancing</t>
        </r>
      </text>
    </comment>
  </commentList>
</comments>
</file>

<file path=xl/comments2.xml><?xml version="1.0" encoding="utf-8"?>
<comments xmlns="http://schemas.openxmlformats.org/spreadsheetml/2006/main">
  <authors>
    <author>PULSE Electronics</author>
    <author>Esida</author>
    <author>DefaultAppPool</author>
  </authors>
  <commentList>
    <comment ref="H1" authorId="0" shapeId="0">
      <text>
        <r>
          <rPr>
            <b/>
            <sz val="9"/>
            <color indexed="81"/>
            <rFont val="Tahoma"/>
            <family val="2"/>
          </rPr>
          <t>PULSE Electronics:</t>
        </r>
        <r>
          <rPr>
            <sz val="9"/>
            <color indexed="81"/>
            <rFont val="Tahoma"/>
            <family val="2"/>
          </rPr>
          <t xml:space="preserve">
PENW table delta2000-2019
</t>
        </r>
      </text>
    </comment>
    <comment ref="I1" authorId="1" shapeId="0">
      <text>
        <r>
          <rPr>
            <sz val="9"/>
            <color indexed="81"/>
            <rFont val="Tahoma"/>
            <family val="2"/>
          </rPr>
          <t xml:space="preserve">
The capital stock series is not detrended because the maximum potential contribution of capital is given by
the full utilisation of the existing capital in the economy. </t>
        </r>
      </text>
    </comment>
    <comment ref="J1" authorId="1" shapeId="0">
      <text>
        <r>
          <rPr>
            <sz val="9"/>
            <color indexed="81"/>
            <rFont val="Tahoma"/>
            <family val="2"/>
          </rPr>
          <t>Nr of Employees
in mil</t>
        </r>
      </text>
    </comment>
    <comment ref="D2" authorId="2" shapeId="0">
      <text>
        <r>
          <rPr>
            <sz val="9"/>
            <color rgb="FF000000"/>
            <rFont val="Tahoma"/>
            <family val="2"/>
          </rPr>
          <t>Includes discrepancies in changes in inventories due to balancing</t>
        </r>
      </text>
    </comment>
    <comment ref="D3" authorId="2" shapeId="0">
      <text>
        <r>
          <rPr>
            <sz val="9"/>
            <color rgb="FF000000"/>
            <rFont val="Tahoma"/>
            <family val="2"/>
          </rPr>
          <t>Includes discrepancies in changes in inventories due to balancing</t>
        </r>
      </text>
    </comment>
    <comment ref="D4" authorId="2" shapeId="0">
      <text>
        <r>
          <rPr>
            <sz val="9"/>
            <color rgb="FF000000"/>
            <rFont val="Tahoma"/>
            <family val="2"/>
          </rPr>
          <t>Includes discrepancies in changes in inventories due to balancing</t>
        </r>
      </text>
    </comment>
    <comment ref="D5" authorId="2" shapeId="0">
      <text>
        <r>
          <rPr>
            <sz val="9"/>
            <color rgb="FF000000"/>
            <rFont val="Tahoma"/>
            <family val="2"/>
          </rPr>
          <t>Includes discrepancies in changes in inventories due to balancing</t>
        </r>
      </text>
    </comment>
    <comment ref="D6" authorId="2" shapeId="0">
      <text>
        <r>
          <rPr>
            <sz val="9"/>
            <color rgb="FF000000"/>
            <rFont val="Tahoma"/>
            <family val="2"/>
          </rPr>
          <t>Includes discrepancies in changes in inventories due to balancing</t>
        </r>
      </text>
    </comment>
    <comment ref="D7" authorId="2" shapeId="0">
      <text>
        <r>
          <rPr>
            <sz val="9"/>
            <color rgb="FF000000"/>
            <rFont val="Tahoma"/>
            <family val="2"/>
          </rPr>
          <t>Includes discrepancies in changes in inventories due to balancing</t>
        </r>
      </text>
    </comment>
    <comment ref="D8" authorId="2" shapeId="0">
      <text>
        <r>
          <rPr>
            <sz val="9"/>
            <color rgb="FF000000"/>
            <rFont val="Tahoma"/>
            <family val="2"/>
          </rPr>
          <t>Includes discrepancies in changes in inventories due to balancing</t>
        </r>
      </text>
    </comment>
    <comment ref="D9" authorId="2" shapeId="0">
      <text>
        <r>
          <rPr>
            <sz val="9"/>
            <color rgb="FF000000"/>
            <rFont val="Tahoma"/>
            <family val="2"/>
          </rPr>
          <t>Includes discrepancies in changes in inventories due to balancing</t>
        </r>
      </text>
    </comment>
    <comment ref="D10" authorId="2" shapeId="0">
      <text>
        <r>
          <rPr>
            <sz val="9"/>
            <color rgb="FF000000"/>
            <rFont val="Tahoma"/>
            <family val="2"/>
          </rPr>
          <t>Includes discrepancies in changes in inventories due to balancing</t>
        </r>
      </text>
    </comment>
    <comment ref="D11" authorId="2" shapeId="0">
      <text>
        <r>
          <rPr>
            <sz val="9"/>
            <color rgb="FF000000"/>
            <rFont val="Tahoma"/>
            <family val="2"/>
          </rPr>
          <t>Includes discrepancies in changes in inventories due to balancing</t>
        </r>
      </text>
    </comment>
    <comment ref="D12" authorId="2" shapeId="0">
      <text>
        <r>
          <rPr>
            <sz val="9"/>
            <color rgb="FF000000"/>
            <rFont val="Tahoma"/>
            <family val="2"/>
          </rPr>
          <t>Includes discrepancies in changes in inventories due to balancing</t>
        </r>
      </text>
    </comment>
    <comment ref="D13" authorId="2" shapeId="0">
      <text>
        <r>
          <rPr>
            <sz val="9"/>
            <color rgb="FF000000"/>
            <rFont val="Tahoma"/>
            <family val="2"/>
          </rPr>
          <t>Includes discrepancies in changes in inventories due to balancing</t>
        </r>
      </text>
    </comment>
    <comment ref="D14" authorId="2" shapeId="0">
      <text>
        <r>
          <rPr>
            <sz val="9"/>
            <color rgb="FF000000"/>
            <rFont val="Tahoma"/>
            <family val="2"/>
          </rPr>
          <t>Includes discrepancies in changes in inventories due to balancing</t>
        </r>
      </text>
    </comment>
    <comment ref="D15" authorId="2" shapeId="0">
      <text>
        <r>
          <rPr>
            <sz val="9"/>
            <color rgb="FF000000"/>
            <rFont val="Tahoma"/>
            <family val="2"/>
          </rPr>
          <t>Includes discrepancies in changes in inventories due to balancing</t>
        </r>
      </text>
    </comment>
    <comment ref="D16" authorId="2" shapeId="0">
      <text>
        <r>
          <rPr>
            <sz val="9"/>
            <color rgb="FF000000"/>
            <rFont val="Tahoma"/>
            <family val="2"/>
          </rPr>
          <t>Includes discrepancies in changes in inventories due to balancing</t>
        </r>
      </text>
    </comment>
    <comment ref="D17" authorId="2" shapeId="0">
      <text>
        <r>
          <rPr>
            <sz val="9"/>
            <color rgb="FF000000"/>
            <rFont val="Tahoma"/>
            <family val="2"/>
          </rPr>
          <t>Includes discrepancies in changes in inventories due to balancing</t>
        </r>
      </text>
    </comment>
    <comment ref="D18" authorId="2" shapeId="0">
      <text>
        <r>
          <rPr>
            <sz val="9"/>
            <color rgb="FF000000"/>
            <rFont val="Tahoma"/>
            <family val="2"/>
          </rPr>
          <t>Includes discrepancies in changes in inventories due to balancing</t>
        </r>
      </text>
    </comment>
    <comment ref="D19" authorId="2" shapeId="0">
      <text>
        <r>
          <rPr>
            <sz val="9"/>
            <color rgb="FF000000"/>
            <rFont val="Tahoma"/>
            <family val="2"/>
          </rPr>
          <t>Includes discrepancies in changes in inventories due to balancing</t>
        </r>
      </text>
    </comment>
    <comment ref="D20" authorId="2" shapeId="0">
      <text>
        <r>
          <rPr>
            <sz val="9"/>
            <color rgb="FF000000"/>
            <rFont val="Tahoma"/>
            <family val="2"/>
          </rPr>
          <t>Includes discrepancies in changes in inventories due to balancing</t>
        </r>
      </text>
    </comment>
    <comment ref="D21" authorId="2" shapeId="0">
      <text>
        <r>
          <rPr>
            <sz val="9"/>
            <color rgb="FF000000"/>
            <rFont val="Tahoma"/>
            <family val="2"/>
          </rPr>
          <t>Includes discrepancies in changes in inventories due to balancing</t>
        </r>
      </text>
    </comment>
    <comment ref="D22" authorId="2" shapeId="0">
      <text>
        <r>
          <rPr>
            <sz val="9"/>
            <color rgb="FF000000"/>
            <rFont val="Tahoma"/>
            <family val="2"/>
          </rPr>
          <t>Includes discrepancies in changes in inventories due to balancing</t>
        </r>
      </text>
    </comment>
    <comment ref="D23" authorId="2" shapeId="0">
      <text>
        <r>
          <rPr>
            <sz val="9"/>
            <color rgb="FF000000"/>
            <rFont val="Tahoma"/>
            <family val="2"/>
          </rPr>
          <t>Includes discrepancies in changes in inventories due to balancing</t>
        </r>
      </text>
    </comment>
    <comment ref="D24" authorId="2" shapeId="0">
      <text>
        <r>
          <rPr>
            <sz val="9"/>
            <color rgb="FF000000"/>
            <rFont val="Tahoma"/>
            <family val="2"/>
          </rPr>
          <t>Includes discrepancies in changes in inventories due to balancing</t>
        </r>
      </text>
    </comment>
    <comment ref="D25" authorId="2" shapeId="0">
      <text>
        <r>
          <rPr>
            <sz val="9"/>
            <color rgb="FF000000"/>
            <rFont val="Tahoma"/>
            <family val="2"/>
          </rPr>
          <t>Includes discrepancies in changes in inventories due to balancing</t>
        </r>
      </text>
    </comment>
    <comment ref="D26" authorId="2" shapeId="0">
      <text>
        <r>
          <rPr>
            <sz val="9"/>
            <color rgb="FF000000"/>
            <rFont val="Tahoma"/>
            <family val="2"/>
          </rPr>
          <t>Includes discrepancies in changes in inventories due to balancing</t>
        </r>
      </text>
    </comment>
    <comment ref="D27" authorId="2" shapeId="0">
      <text>
        <r>
          <rPr>
            <sz val="9"/>
            <color rgb="FF000000"/>
            <rFont val="Tahoma"/>
            <family val="2"/>
          </rPr>
          <t>Includes discrepancies in changes in inventories due to balancing</t>
        </r>
      </text>
    </comment>
    <comment ref="D28" authorId="2" shapeId="0">
      <text>
        <r>
          <rPr>
            <sz val="9"/>
            <color rgb="FF000000"/>
            <rFont val="Tahoma"/>
            <family val="2"/>
          </rPr>
          <t>Includes discrepancies in changes in inventories due to balancing</t>
        </r>
      </text>
    </comment>
    <comment ref="D29" authorId="2" shapeId="0">
      <text>
        <r>
          <rPr>
            <sz val="9"/>
            <color rgb="FF000000"/>
            <rFont val="Tahoma"/>
            <family val="2"/>
          </rPr>
          <t>Includes discrepancies in changes in inventories due to balancing</t>
        </r>
      </text>
    </comment>
    <comment ref="D30" authorId="2" shapeId="0">
      <text>
        <r>
          <rPr>
            <sz val="9"/>
            <color rgb="FF000000"/>
            <rFont val="Tahoma"/>
            <family val="2"/>
          </rPr>
          <t>Includes discrepancies in changes in inventories due to balancing</t>
        </r>
      </text>
    </comment>
    <comment ref="D31" authorId="2" shapeId="0">
      <text>
        <r>
          <rPr>
            <sz val="9"/>
            <color rgb="FF000000"/>
            <rFont val="Tahoma"/>
            <family val="2"/>
          </rPr>
          <t>Includes discrepancies in changes in inventories due to balancing</t>
        </r>
      </text>
    </comment>
    <comment ref="D32" authorId="2" shapeId="0">
      <text>
        <r>
          <rPr>
            <sz val="9"/>
            <color rgb="FF000000"/>
            <rFont val="Tahoma"/>
            <family val="2"/>
          </rPr>
          <t>Includes discrepancies in changes in inventories due to balancing</t>
        </r>
      </text>
    </comment>
    <comment ref="D33" authorId="2" shapeId="0">
      <text>
        <r>
          <rPr>
            <sz val="9"/>
            <color rgb="FF000000"/>
            <rFont val="Tahoma"/>
            <family val="2"/>
          </rPr>
          <t>Includes discrepancies in changes in inventories due to balancing</t>
        </r>
      </text>
    </comment>
    <comment ref="D34" authorId="2" shapeId="0">
      <text>
        <r>
          <rPr>
            <sz val="9"/>
            <color rgb="FF000000"/>
            <rFont val="Tahoma"/>
            <family val="2"/>
          </rPr>
          <t>Includes discrepancies in changes in inventories due to balancing</t>
        </r>
      </text>
    </comment>
    <comment ref="D35" authorId="2" shapeId="0">
      <text>
        <r>
          <rPr>
            <sz val="9"/>
            <color rgb="FF000000"/>
            <rFont val="Tahoma"/>
            <family val="2"/>
          </rPr>
          <t>Includes discrepancies in changes in inventories due to balancing</t>
        </r>
      </text>
    </comment>
    <comment ref="D36" authorId="2" shapeId="0">
      <text>
        <r>
          <rPr>
            <sz val="9"/>
            <color rgb="FF000000"/>
            <rFont val="Tahoma"/>
            <family val="2"/>
          </rPr>
          <t>Includes discrepancies in changes in inventories due to balancing</t>
        </r>
      </text>
    </comment>
    <comment ref="D37" authorId="2" shapeId="0">
      <text>
        <r>
          <rPr>
            <sz val="9"/>
            <color rgb="FF000000"/>
            <rFont val="Tahoma"/>
            <family val="2"/>
          </rPr>
          <t>Includes discrepancies in changes in inventories due to balancing</t>
        </r>
      </text>
    </comment>
    <comment ref="D38" authorId="2" shapeId="0">
      <text>
        <r>
          <rPr>
            <sz val="9"/>
            <color rgb="FF000000"/>
            <rFont val="Tahoma"/>
            <family val="2"/>
          </rPr>
          <t>Includes discrepancies in changes in inventories due to balancing</t>
        </r>
      </text>
    </comment>
    <comment ref="D39" authorId="2" shapeId="0">
      <text>
        <r>
          <rPr>
            <sz val="9"/>
            <color rgb="FF000000"/>
            <rFont val="Tahoma"/>
            <family val="2"/>
          </rPr>
          <t>Includes discrepancies in changes in inventories due to balancing</t>
        </r>
      </text>
    </comment>
    <comment ref="D40" authorId="2" shapeId="0">
      <text>
        <r>
          <rPr>
            <sz val="9"/>
            <color rgb="FF000000"/>
            <rFont val="Tahoma"/>
            <family val="2"/>
          </rPr>
          <t>Includes discrepancies in changes in inventories due to balancing</t>
        </r>
      </text>
    </comment>
    <comment ref="D41" authorId="2" shapeId="0">
      <text>
        <r>
          <rPr>
            <sz val="9"/>
            <color rgb="FF000000"/>
            <rFont val="Tahoma"/>
            <family val="2"/>
          </rPr>
          <t>Includes discrepancies in changes in inventories due to balancing</t>
        </r>
      </text>
    </comment>
    <comment ref="D42" authorId="2" shapeId="0">
      <text>
        <r>
          <rPr>
            <sz val="9"/>
            <color rgb="FF000000"/>
            <rFont val="Tahoma"/>
            <family val="2"/>
          </rPr>
          <t>Includes discrepancies in changes in inventories due to balancing</t>
        </r>
      </text>
    </comment>
    <comment ref="D43" authorId="2" shapeId="0">
      <text>
        <r>
          <rPr>
            <sz val="9"/>
            <color rgb="FF000000"/>
            <rFont val="Tahoma"/>
            <family val="2"/>
          </rPr>
          <t>Includes discrepancies in changes in inventories due to balancing</t>
        </r>
      </text>
    </comment>
    <comment ref="D44" authorId="2" shapeId="0">
      <text>
        <r>
          <rPr>
            <sz val="9"/>
            <color rgb="FF000000"/>
            <rFont val="Tahoma"/>
            <family val="2"/>
          </rPr>
          <t>Includes discrepancies in changes in inventories due to balancing</t>
        </r>
      </text>
    </comment>
    <comment ref="D45" authorId="2" shapeId="0">
      <text>
        <r>
          <rPr>
            <sz val="9"/>
            <color rgb="FF000000"/>
            <rFont val="Tahoma"/>
            <family val="2"/>
          </rPr>
          <t>Includes discrepancies in changes in inventories due to balancing</t>
        </r>
      </text>
    </comment>
    <comment ref="D46" authorId="2" shapeId="0">
      <text>
        <r>
          <rPr>
            <sz val="9"/>
            <color rgb="FF000000"/>
            <rFont val="Tahoma"/>
            <family val="2"/>
          </rPr>
          <t>Includes discrepancies in changes in inventories due to balancing</t>
        </r>
      </text>
    </comment>
    <comment ref="D47" authorId="2" shapeId="0">
      <text>
        <r>
          <rPr>
            <sz val="9"/>
            <color rgb="FF000000"/>
            <rFont val="Tahoma"/>
            <family val="2"/>
          </rPr>
          <t>Includes discrepancies in changes in inventories due to balancing</t>
        </r>
      </text>
    </comment>
    <comment ref="D48" authorId="2" shapeId="0">
      <text>
        <r>
          <rPr>
            <sz val="9"/>
            <color rgb="FF000000"/>
            <rFont val="Tahoma"/>
            <family val="2"/>
          </rPr>
          <t>Includes discrepancies in changes in inventories due to balancing</t>
        </r>
      </text>
    </comment>
    <comment ref="D49" authorId="2" shapeId="0">
      <text>
        <r>
          <rPr>
            <sz val="9"/>
            <color rgb="FF000000"/>
            <rFont val="Tahoma"/>
            <family val="2"/>
          </rPr>
          <t>Includes discrepancies in changes in inventories due to balancing</t>
        </r>
      </text>
    </comment>
    <comment ref="D50" authorId="2" shapeId="0">
      <text>
        <r>
          <rPr>
            <sz val="9"/>
            <color rgb="FF000000"/>
            <rFont val="Tahoma"/>
            <family val="2"/>
          </rPr>
          <t>Includes discrepancies in changes in inventories due to balancing</t>
        </r>
      </text>
    </comment>
    <comment ref="D51" authorId="2" shapeId="0">
      <text>
        <r>
          <rPr>
            <sz val="9"/>
            <color rgb="FF000000"/>
            <rFont val="Tahoma"/>
            <family val="2"/>
          </rPr>
          <t>Includes discrepancies in changes in inventories due to balancing</t>
        </r>
      </text>
    </comment>
    <comment ref="D52" authorId="2" shapeId="0">
      <text>
        <r>
          <rPr>
            <sz val="9"/>
            <color rgb="FF000000"/>
            <rFont val="Tahoma"/>
            <family val="2"/>
          </rPr>
          <t>Includes discrepancies in changes in inventories due to balancing</t>
        </r>
      </text>
    </comment>
    <comment ref="D53" authorId="2" shapeId="0">
      <text>
        <r>
          <rPr>
            <sz val="9"/>
            <color rgb="FF000000"/>
            <rFont val="Tahoma"/>
            <family val="2"/>
          </rPr>
          <t>Includes discrepancies in changes in inventories due to balancing</t>
        </r>
      </text>
    </comment>
    <comment ref="D54" authorId="2" shapeId="0">
      <text>
        <r>
          <rPr>
            <sz val="9"/>
            <color rgb="FF000000"/>
            <rFont val="Tahoma"/>
            <family val="2"/>
          </rPr>
          <t>Includes discrepancies in changes in inventories due to balancing</t>
        </r>
      </text>
    </comment>
    <comment ref="D55" authorId="2" shapeId="0">
      <text>
        <r>
          <rPr>
            <sz val="9"/>
            <color rgb="FF000000"/>
            <rFont val="Tahoma"/>
            <family val="2"/>
          </rPr>
          <t>Includes discrepancies in changes in inventories due to balancing</t>
        </r>
      </text>
    </comment>
    <comment ref="D56" authorId="2" shapeId="0">
      <text>
        <r>
          <rPr>
            <sz val="9"/>
            <color rgb="FF000000"/>
            <rFont val="Tahoma"/>
            <family val="2"/>
          </rPr>
          <t>Includes discrepancies in changes in inventories due to balancing</t>
        </r>
      </text>
    </comment>
    <comment ref="D57" authorId="2" shapeId="0">
      <text>
        <r>
          <rPr>
            <sz val="9"/>
            <color rgb="FF000000"/>
            <rFont val="Tahoma"/>
            <family val="2"/>
          </rPr>
          <t>Includes discrepancies in changes in inventories due to balancing</t>
        </r>
      </text>
    </comment>
    <comment ref="D58" authorId="2" shapeId="0">
      <text>
        <r>
          <rPr>
            <sz val="9"/>
            <color rgb="FF000000"/>
            <rFont val="Tahoma"/>
            <family val="2"/>
          </rPr>
          <t>Includes discrepancies in changes in inventories due to balancing</t>
        </r>
      </text>
    </comment>
    <comment ref="D59" authorId="2" shapeId="0">
      <text>
        <r>
          <rPr>
            <sz val="9"/>
            <color rgb="FF000000"/>
            <rFont val="Tahoma"/>
            <family val="2"/>
          </rPr>
          <t>Includes discrepancies in changes in inventories due to balancing</t>
        </r>
      </text>
    </comment>
    <comment ref="D60" authorId="2" shapeId="0">
      <text>
        <r>
          <rPr>
            <sz val="9"/>
            <color rgb="FF000000"/>
            <rFont val="Tahoma"/>
            <family val="2"/>
          </rPr>
          <t>Includes discrepancies in changes in inventories due to balancing</t>
        </r>
      </text>
    </comment>
    <comment ref="D61" authorId="2" shapeId="0">
      <text>
        <r>
          <rPr>
            <sz val="9"/>
            <color rgb="FF000000"/>
            <rFont val="Tahoma"/>
            <family val="2"/>
          </rPr>
          <t>Includes discrepancies in changes in inventories due to balancing</t>
        </r>
      </text>
    </comment>
    <comment ref="D62" authorId="2" shapeId="0">
      <text>
        <r>
          <rPr>
            <sz val="9"/>
            <color rgb="FF000000"/>
            <rFont val="Tahoma"/>
            <family val="2"/>
          </rPr>
          <t>Includes discrepancies in changes in inventories due to balancing</t>
        </r>
      </text>
    </comment>
    <comment ref="D63" authorId="2" shapeId="0">
      <text>
        <r>
          <rPr>
            <sz val="9"/>
            <color rgb="FF000000"/>
            <rFont val="Tahoma"/>
            <family val="2"/>
          </rPr>
          <t>Includes discrepancies in changes in inventories due to balancing</t>
        </r>
      </text>
    </comment>
    <comment ref="D64" authorId="2" shapeId="0">
      <text>
        <r>
          <rPr>
            <sz val="9"/>
            <color rgb="FF000000"/>
            <rFont val="Tahoma"/>
            <family val="2"/>
          </rPr>
          <t>Includes discrepancies in changes in inventories due to balancing</t>
        </r>
      </text>
    </comment>
    <comment ref="D65" authorId="2" shapeId="0">
      <text>
        <r>
          <rPr>
            <sz val="9"/>
            <color rgb="FF000000"/>
            <rFont val="Tahoma"/>
            <family val="2"/>
          </rPr>
          <t>Includes discrepancies in changes in inventories due to balancing</t>
        </r>
      </text>
    </comment>
    <comment ref="D66" authorId="2" shapeId="0">
      <text>
        <r>
          <rPr>
            <sz val="9"/>
            <color rgb="FF000000"/>
            <rFont val="Tahoma"/>
            <family val="2"/>
          </rPr>
          <t>Includes discrepancies in changes in inventories due to balancing</t>
        </r>
      </text>
    </comment>
    <comment ref="D67" authorId="2" shapeId="0">
      <text>
        <r>
          <rPr>
            <sz val="9"/>
            <color rgb="FF000000"/>
            <rFont val="Tahoma"/>
            <family val="2"/>
          </rPr>
          <t>Includes discrepancies in changes in inventories due to balancing</t>
        </r>
      </text>
    </comment>
    <comment ref="D68" authorId="2" shapeId="0">
      <text>
        <r>
          <rPr>
            <sz val="9"/>
            <color rgb="FF000000"/>
            <rFont val="Tahoma"/>
            <family val="2"/>
          </rPr>
          <t>Includes discrepancies in changes in inventories due to balancing</t>
        </r>
      </text>
    </comment>
    <comment ref="D69" authorId="2" shapeId="0">
      <text>
        <r>
          <rPr>
            <sz val="9"/>
            <color rgb="FF000000"/>
            <rFont val="Tahoma"/>
            <family val="2"/>
          </rPr>
          <t>Includes discrepancies in changes in inventories due to balancing</t>
        </r>
      </text>
    </comment>
    <comment ref="D70" authorId="2" shapeId="0">
      <text>
        <r>
          <rPr>
            <sz val="9"/>
            <color rgb="FF000000"/>
            <rFont val="Tahoma"/>
            <family val="2"/>
          </rPr>
          <t>Includes discrepancies in changes in inventories due to balancing</t>
        </r>
      </text>
    </comment>
    <comment ref="D71" authorId="2" shapeId="0">
      <text>
        <r>
          <rPr>
            <sz val="9"/>
            <color rgb="FF000000"/>
            <rFont val="Tahoma"/>
            <family val="2"/>
          </rPr>
          <t>Includes discrepancies in changes in inventories due to balancing</t>
        </r>
      </text>
    </comment>
    <comment ref="D72" authorId="2" shapeId="0">
      <text>
        <r>
          <rPr>
            <sz val="9"/>
            <color rgb="FF000000"/>
            <rFont val="Tahoma"/>
            <family val="2"/>
          </rPr>
          <t>Includes discrepancies in changes in inventories due to balancing</t>
        </r>
      </text>
    </comment>
    <comment ref="D73" authorId="2" shapeId="0">
      <text>
        <r>
          <rPr>
            <sz val="9"/>
            <color rgb="FF000000"/>
            <rFont val="Tahoma"/>
            <family val="2"/>
          </rPr>
          <t>Includes discrepancies in changes in inventories due to balancing</t>
        </r>
      </text>
    </comment>
    <comment ref="D74" authorId="2" shapeId="0">
      <text>
        <r>
          <rPr>
            <sz val="9"/>
            <color rgb="FF000000"/>
            <rFont val="Tahoma"/>
            <family val="2"/>
          </rPr>
          <t>Includes discrepancies in changes in inventories due to balancing</t>
        </r>
      </text>
    </comment>
    <comment ref="D75" authorId="2" shapeId="0">
      <text>
        <r>
          <rPr>
            <sz val="9"/>
            <color rgb="FF000000"/>
            <rFont val="Tahoma"/>
            <family val="2"/>
          </rPr>
          <t>Includes discrepancies in changes in inventories due to balancing</t>
        </r>
      </text>
    </comment>
    <comment ref="D76" authorId="2" shapeId="0">
      <text>
        <r>
          <rPr>
            <sz val="9"/>
            <color rgb="FF000000"/>
            <rFont val="Tahoma"/>
            <family val="2"/>
          </rPr>
          <t>Includes discrepancies in changes in inventories due to balancing</t>
        </r>
      </text>
    </comment>
    <comment ref="D77" authorId="2" shapeId="0">
      <text>
        <r>
          <rPr>
            <sz val="9"/>
            <color rgb="FF000000"/>
            <rFont val="Tahoma"/>
            <family val="2"/>
          </rPr>
          <t>Includes discrepancies in changes in inventories due to balancing</t>
        </r>
      </text>
    </comment>
    <comment ref="D78" authorId="2" shapeId="0">
      <text>
        <r>
          <rPr>
            <sz val="9"/>
            <color rgb="FF000000"/>
            <rFont val="Tahoma"/>
            <family val="2"/>
          </rPr>
          <t>Includes discrepancies in changes in inventories due to balancing</t>
        </r>
      </text>
    </comment>
    <comment ref="D79" authorId="2" shapeId="0">
      <text>
        <r>
          <rPr>
            <sz val="9"/>
            <color rgb="FF000000"/>
            <rFont val="Tahoma"/>
            <family val="2"/>
          </rPr>
          <t>Includes discrepancies in changes in inventories due to balancing</t>
        </r>
      </text>
    </comment>
    <comment ref="D80" authorId="2" shapeId="0">
      <text>
        <r>
          <rPr>
            <sz val="9"/>
            <color rgb="FF000000"/>
            <rFont val="Tahoma"/>
            <family val="2"/>
          </rPr>
          <t>Includes discrepancies in changes in inventories due to balancing</t>
        </r>
      </text>
    </comment>
    <comment ref="D81" authorId="2" shapeId="0">
      <text>
        <r>
          <rPr>
            <sz val="9"/>
            <color rgb="FF000000"/>
            <rFont val="Tahoma"/>
            <family val="2"/>
          </rPr>
          <t>Includes discrepancies in changes in inventories due to balancing</t>
        </r>
      </text>
    </comment>
    <comment ref="D82" authorId="2" shapeId="0">
      <text>
        <r>
          <rPr>
            <sz val="9"/>
            <color rgb="FF000000"/>
            <rFont val="Tahoma"/>
            <family val="2"/>
          </rPr>
          <t>Includes discrepancies in changes in inventories due to balancing</t>
        </r>
      </text>
    </comment>
    <comment ref="D83" authorId="2" shapeId="0">
      <text>
        <r>
          <rPr>
            <sz val="9"/>
            <color rgb="FF000000"/>
            <rFont val="Tahoma"/>
            <family val="2"/>
          </rPr>
          <t>Includes discrepancies in changes in inventories due to balancing</t>
        </r>
      </text>
    </comment>
    <comment ref="D84" authorId="2" shapeId="0">
      <text>
        <r>
          <rPr>
            <sz val="9"/>
            <color rgb="FF000000"/>
            <rFont val="Tahoma"/>
            <family val="2"/>
          </rPr>
          <t>Includes discrepancies in changes in inventories due to balancing</t>
        </r>
      </text>
    </comment>
    <comment ref="D85" authorId="2" shapeId="0">
      <text>
        <r>
          <rPr>
            <sz val="9"/>
            <color rgb="FF000000"/>
            <rFont val="Tahoma"/>
            <family val="2"/>
          </rPr>
          <t>Includes discrepancies in changes in inventories due to balancing</t>
        </r>
      </text>
    </comment>
    <comment ref="D86" authorId="2" shapeId="0">
      <text>
        <r>
          <rPr>
            <sz val="9"/>
            <color rgb="FF000000"/>
            <rFont val="Tahoma"/>
            <family val="2"/>
          </rPr>
          <t>Includes discrepancies in changes in inventories due to balancing</t>
        </r>
      </text>
    </comment>
    <comment ref="D87" authorId="2" shapeId="0">
      <text>
        <r>
          <rPr>
            <sz val="9"/>
            <color rgb="FF000000"/>
            <rFont val="Tahoma"/>
            <family val="2"/>
          </rPr>
          <t>Includes discrepancies in changes in inventories due to balancing</t>
        </r>
      </text>
    </comment>
    <comment ref="D88" authorId="2" shapeId="0">
      <text>
        <r>
          <rPr>
            <sz val="9"/>
            <color rgb="FF000000"/>
            <rFont val="Tahoma"/>
            <family val="2"/>
          </rPr>
          <t>Includes discrepancies in changes in inventories due to balancing</t>
        </r>
      </text>
    </comment>
    <comment ref="D89" authorId="2" shapeId="0">
      <text>
        <r>
          <rPr>
            <sz val="9"/>
            <color rgb="FF000000"/>
            <rFont val="Tahoma"/>
            <family val="2"/>
          </rPr>
          <t>Includes discrepancies in changes in inventories due to balancing</t>
        </r>
      </text>
    </comment>
    <comment ref="D90" authorId="2" shapeId="0">
      <text>
        <r>
          <rPr>
            <sz val="9"/>
            <color rgb="FF000000"/>
            <rFont val="Tahoma"/>
            <family val="2"/>
          </rPr>
          <t>Includes discrepancies in changes in inventories due to balancing</t>
        </r>
      </text>
    </comment>
    <comment ref="D91" authorId="2" shapeId="0">
      <text>
        <r>
          <rPr>
            <sz val="9"/>
            <color rgb="FF000000"/>
            <rFont val="Tahoma"/>
            <family val="2"/>
          </rPr>
          <t>Includes discrepancies in changes in inventories due to balancing</t>
        </r>
      </text>
    </comment>
    <comment ref="D92" authorId="2" shapeId="0">
      <text>
        <r>
          <rPr>
            <sz val="9"/>
            <color rgb="FF000000"/>
            <rFont val="Tahoma"/>
            <family val="2"/>
          </rPr>
          <t>Includes discrepancies in changes in inventories due to balancing</t>
        </r>
      </text>
    </comment>
    <comment ref="D93" authorId="2" shapeId="0">
      <text>
        <r>
          <rPr>
            <sz val="9"/>
            <color rgb="FF000000"/>
            <rFont val="Tahoma"/>
            <family val="2"/>
          </rPr>
          <t>Includes discrepancies in changes in inventories due to balancing</t>
        </r>
      </text>
    </comment>
  </commentList>
</comments>
</file>

<file path=xl/comments3.xml><?xml version="1.0" encoding="utf-8"?>
<comments xmlns="http://schemas.openxmlformats.org/spreadsheetml/2006/main">
  <authors>
    <author>PULSE Electronics</author>
  </authors>
  <commentList>
    <comment ref="C2" authorId="0" shapeId="0">
      <text>
        <r>
          <rPr>
            <b/>
            <sz val="9"/>
            <color indexed="81"/>
            <rFont val="Tahoma"/>
            <family val="2"/>
          </rPr>
          <t>PULSE Electronics:</t>
        </r>
        <r>
          <rPr>
            <sz val="9"/>
            <color indexed="81"/>
            <rFont val="Tahoma"/>
            <family val="2"/>
          </rPr>
          <t xml:space="preserve">
Penn World Table 10
</t>
        </r>
      </text>
    </comment>
  </commentList>
</comments>
</file>

<file path=xl/sharedStrings.xml><?xml version="1.0" encoding="utf-8"?>
<sst xmlns="http://schemas.openxmlformats.org/spreadsheetml/2006/main" count="895" uniqueCount="383">
  <si>
    <t>PCPI</t>
  </si>
  <si>
    <t>LUR</t>
  </si>
  <si>
    <t>working age population</t>
  </si>
  <si>
    <t>labor force</t>
  </si>
  <si>
    <t>laborforce</t>
  </si>
  <si>
    <t>year</t>
  </si>
  <si>
    <t>gdp</t>
  </si>
  <si>
    <t>investment</t>
  </si>
  <si>
    <t>KOS</t>
  </si>
  <si>
    <t>Depreciation rate (delta)</t>
  </si>
  <si>
    <t xml:space="preserve">Production functions are central to the determination of the efficient allocation of resources.  
Of the many types of production functions, one of the most widespread functions has been the Cobb-Douglas
production function, after Charles W. Cobb and Paul H. Douglas, "A Theory of Production", American
Economic Review, XVIIII (Supplement, 1938), pp. 139-156.  While the Cobb-Douglas production 
function is limited to a unitary elasticity of substitution, it does provide for direct estimates of the optimal 
expenditure proportions on production inputs, given a budget constraint and relative input prices.
</t>
  </si>
  <si>
    <t>Best used for SR that aim to increase human capital (such as reforms related to employment - increase in employment)</t>
  </si>
  <si>
    <t>Best used for SR that aim to improve productivity of human resources (education levels)</t>
  </si>
  <si>
    <t>Best used for SR that aim to improve productivity in general (innovation, digitalization, automatization)</t>
  </si>
  <si>
    <t>A production function links GDP to:</t>
  </si>
  <si>
    <t>–Human capital (working age population)</t>
  </si>
  <si>
    <t>–Physical capital</t>
  </si>
  <si>
    <t xml:space="preserve">–Total Factor Productivity ( innovation, technology, digitalization, etc.) </t>
  </si>
  <si>
    <t>Rationale behind the Production Function</t>
  </si>
  <si>
    <t>Transmission mechanisms:</t>
  </si>
  <si>
    <t>Shock Labour Force- add number of new jobs planned to be created by the SR per year and note the difference in the output</t>
  </si>
  <si>
    <t xml:space="preserve">Institutions and better-functioning domestic product markets are a key structural determinant of growth. Perception of the quality of government services and policies significantly affects economic growth, mainly through the capital and productivity channels, probably through their impact on investment decisions and reduction of operating costs. Lower taxes and higher regulatory quality contribute to higher growth. The effect of such structural reforms would be transmitted through all three input channels, hence spurring the use of labor and capital and thus promoting productivity. </t>
  </si>
  <si>
    <t>SR Examples Government Services</t>
  </si>
  <si>
    <t>SR Examples Education</t>
  </si>
  <si>
    <t xml:space="preserve">Better educational attainments, which contribute to higher quality of human capital, are associated with both higher employment and productivity, hence higher economic growth. The results show that an increase in the level of educational attainments affects both the use of labor and the efficiency channel, and the result is robust across alternative model specifications. </t>
  </si>
  <si>
    <t>Growth is positively affected by how well-developed a country’s financial systems are and by its innovation capability. The higher the share of domestic credit to the private sector as a percent of GDP, the deeper and more efficient its use of capital. Availability of the latest technologies improves the use capital inputs.</t>
  </si>
  <si>
    <t>SR Example Financial Sector</t>
  </si>
  <si>
    <t>Investment in bil</t>
  </si>
  <si>
    <t>Row Labels</t>
  </si>
  <si>
    <t>Albania</t>
  </si>
  <si>
    <t>Bosnia and Herzegovina</t>
  </si>
  <si>
    <t>Montenegro</t>
  </si>
  <si>
    <t>North Macedonia</t>
  </si>
  <si>
    <t>Serbia</t>
  </si>
  <si>
    <t>capital/output</t>
  </si>
  <si>
    <t>Average capital/ouput ratio</t>
  </si>
  <si>
    <t>Price level of CDA (PPP/XR), price level of USA GDPo in 2011=1</t>
  </si>
  <si>
    <t>Capital stock at constant 2011 national prices (in mil. 2011US$)</t>
  </si>
  <si>
    <t>Average depreciation rate of the capital stock</t>
  </si>
  <si>
    <t>Share of labour compensation in GDP at current national prices</t>
  </si>
  <si>
    <t>PennW table</t>
  </si>
  <si>
    <t>Regional countries</t>
  </si>
  <si>
    <t xml:space="preserve">capital-ouput ratio </t>
  </si>
  <si>
    <t>The prices are in Dennar</t>
  </si>
  <si>
    <t>Gross Capital Formation</t>
  </si>
  <si>
    <t>Previous Year</t>
  </si>
  <si>
    <t>Current Year Prices</t>
  </si>
  <si>
    <t>Base Year 2005</t>
  </si>
  <si>
    <t>Working Age Popultion</t>
  </si>
  <si>
    <t xml:space="preserve">Employment </t>
  </si>
  <si>
    <t xml:space="preserve">GDP </t>
  </si>
  <si>
    <t>Previous Year Prices</t>
  </si>
  <si>
    <t>Real GDP Growth</t>
  </si>
  <si>
    <t>Real GDP in bil Base year 2005</t>
  </si>
  <si>
    <t>Stock of Capital_1</t>
  </si>
  <si>
    <t xml:space="preserve">Labor </t>
  </si>
  <si>
    <t xml:space="preserve">lab_share_1 </t>
  </si>
  <si>
    <t>log(tfp_1)</t>
  </si>
  <si>
    <t>tfp_1</t>
  </si>
  <si>
    <t>tfp_1_HP</t>
  </si>
  <si>
    <t>log(gdp_pot_1)</t>
  </si>
  <si>
    <t>GDP_pot_Cobb Douglas</t>
  </si>
  <si>
    <t>GDP_pot_HP</t>
  </si>
  <si>
    <t>Output_Gap_Cobb_Douglas</t>
  </si>
  <si>
    <t>Output_GAP_HP</t>
  </si>
  <si>
    <t>Lab Potential HP</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</si>
  <si>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</si>
  <si>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</si>
  <si>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</si>
  <si>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</si>
  <si>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</si>
  <si>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</si>
  <si>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</si>
  <si>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</si>
  <si>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</si>
  <si>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</si>
  <si>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</si>
  <si>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</si>
  <si>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</si>
  <si>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</si>
  <si>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</si>
  <si>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</si>
  <si>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</si>
  <si>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</si>
  <si>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</si>
  <si>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</si>
  <si>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</si>
  <si>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</si>
  <si>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</si>
  <si>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</si>
  <si>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</si>
  <si>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</si>
  <si>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</si>
  <si>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</si>
  <si>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</si>
  <si>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</si>
  <si>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</si>
  <si>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</si>
  <si>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</si>
  <si>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</si>
  <si>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</si>
  <si>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</si>
  <si>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</si>
  <si>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</si>
  <si>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</si>
  <si>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</si>
  <si>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</si>
  <si>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</si>
  <si>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</si>
  <si>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</si>
  <si>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</si>
  <si>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</si>
  <si>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</si>
  <si>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</si>
  <si>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</si>
  <si>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</si>
  <si>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</si>
  <si>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</si>
  <si>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</si>
  <si>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</si>
  <si>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</si>
  <si>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</si>
  <si>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</si>
  <si>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</si>
  <si>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</si>
  <si>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</si>
  <si>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</si>
  <si>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</si>
  <si>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</si>
  <si>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</si>
  <si>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</si>
  <si>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</si>
  <si>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</si>
  <si>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</si>
  <si>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</si>
  <si>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</si>
  <si>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</si>
  <si>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</si>
  <si>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</si>
  <si>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</si>
  <si>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</si>
  <si>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</si>
  <si>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</si>
  <si>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</si>
  <si>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</si>
  <si>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</si>
  <si>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</si>
  <si>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</si>
  <si>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</si>
  <si>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</si>
  <si>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2000Q1</t>
  </si>
  <si>
    <t>2000Q2</t>
  </si>
  <si>
    <t>2000Q3</t>
  </si>
  <si>
    <t>2000Q4</t>
  </si>
  <si>
    <t>2001Q1</t>
  </si>
  <si>
    <t>2001Q2</t>
  </si>
  <si>
    <t>2001Q3</t>
  </si>
  <si>
    <t>2001Q4</t>
  </si>
  <si>
    <t>Real Growth Rate</t>
  </si>
  <si>
    <t>Seasonally adjusted- GDP</t>
  </si>
  <si>
    <t>Seasonally adjusted Investment</t>
  </si>
  <si>
    <t xml:space="preserve">Labour in bln </t>
  </si>
  <si>
    <t>Assumptions</t>
  </si>
  <si>
    <t>Economic Impact</t>
  </si>
  <si>
    <t>Note 1: Please insert your assumption on how much in %, the X reform is expected to increase productivity</t>
  </si>
  <si>
    <t>Impact on productivity  (see note 1)</t>
  </si>
  <si>
    <t>Annual</t>
  </si>
  <si>
    <t>Impact on employment (see note 3)</t>
  </si>
  <si>
    <t>Impact on investment (see note 2)</t>
  </si>
  <si>
    <t>Note 3: Please insert your assumption on how much in %, the X reform is expected to increase the number of employees</t>
  </si>
  <si>
    <t>ranking in government effectiveness (1-100)</t>
  </si>
  <si>
    <t>completed construction work in billion  denars</t>
  </si>
  <si>
    <t>individual using the internet (% of population)</t>
  </si>
  <si>
    <t>Terms of trade adjustment (constant LCU) %change</t>
  </si>
  <si>
    <t>enrolloment in tertiary education, number of plp</t>
  </si>
  <si>
    <t>trade opennes index (total trade/gdp)</t>
  </si>
  <si>
    <t>import volume index</t>
  </si>
  <si>
    <t>number of days to start a business</t>
  </si>
  <si>
    <t>bln denars</t>
  </si>
  <si>
    <t>capital stock 
bln denars</t>
  </si>
  <si>
    <t xml:space="preserve">employment </t>
  </si>
  <si>
    <t>pillar1</t>
  </si>
  <si>
    <t>pillar2</t>
  </si>
  <si>
    <t>pillar3</t>
  </si>
  <si>
    <t>pillar4</t>
  </si>
  <si>
    <t>pillar5</t>
  </si>
  <si>
    <t>pillar6</t>
  </si>
  <si>
    <t>pillar7</t>
  </si>
  <si>
    <t xml:space="preserve">     8th pillar: Labour market efficiency</t>
  </si>
  <si>
    <t xml:space="preserve">     9th pillar: Sinancial sector</t>
  </si>
  <si>
    <t>pillar10</t>
  </si>
  <si>
    <t>pillar11</t>
  </si>
  <si>
    <t>RGDPbln</t>
  </si>
  <si>
    <t>Invbln</t>
  </si>
  <si>
    <t>empmln</t>
  </si>
  <si>
    <t xml:space="preserve">pillar 1 on GDP </t>
  </si>
  <si>
    <t>ranking gov. effectiveness</t>
  </si>
  <si>
    <t>c</t>
  </si>
  <si>
    <t xml:space="preserve">slope </t>
  </si>
  <si>
    <t>st. error</t>
  </si>
  <si>
    <t xml:space="preserve">R-sq/St error for y estimate </t>
  </si>
  <si>
    <t xml:space="preserve">F -statistics/degrees of freedom </t>
  </si>
  <si>
    <t xml:space="preserve">regresion sum of squares/residual sum of squares </t>
  </si>
  <si>
    <t xml:space="preserve">t-stat </t>
  </si>
  <si>
    <t xml:space="preserve">pillar 2 on GDP </t>
  </si>
  <si>
    <t>compl. constructio</t>
  </si>
  <si>
    <t>t-stat</t>
  </si>
  <si>
    <t xml:space="preserve">pillar 3 on gdp </t>
  </si>
  <si>
    <t>usage of internet</t>
  </si>
  <si>
    <t xml:space="preserve">pillar 11 on gdp </t>
  </si>
  <si>
    <t>no of days to start a business</t>
  </si>
  <si>
    <t xml:space="preserve">c </t>
  </si>
  <si>
    <t>Explanation</t>
  </si>
  <si>
    <t>*** if usage of interent increases by 1 pp, GDP increases by 2.4 bln denars</t>
  </si>
  <si>
    <t>Shock Total Factor Productivity- assume a % increase in productivity due to the implementation of the reform</t>
  </si>
  <si>
    <t xml:space="preserve">SR Examples Government Services: Institutions and better-functioning domestic product markets are a key structural determinant of growth. Perception of the quality of government services and policies significantly affects economic growth, mainly through the increasing government effectiveness rankings. </t>
  </si>
  <si>
    <t>*** if completed construction increases by 1 bln, gdp increases by 6.28 bln denars</t>
  </si>
  <si>
    <t>Completed Construction Work in bln denars</t>
  </si>
  <si>
    <t>Usage of internet (persons as % of population)</t>
  </si>
  <si>
    <t>Structural Reform impacting Infrastructure</t>
  </si>
  <si>
    <t>Structural Reform impacting the healthcare sector</t>
  </si>
  <si>
    <t>Assumed impact of the reform</t>
  </si>
  <si>
    <t>Value in MKD</t>
  </si>
  <si>
    <t>Value in percentage point</t>
  </si>
  <si>
    <t>Value in MKD per capita</t>
  </si>
  <si>
    <t>Value in number</t>
  </si>
  <si>
    <t>2006</t>
  </si>
  <si>
    <t>2007</t>
  </si>
  <si>
    <t>2008</t>
  </si>
  <si>
    <t>2009</t>
  </si>
  <si>
    <t>2010</t>
  </si>
  <si>
    <t>2011</t>
  </si>
  <si>
    <t>2012</t>
  </si>
  <si>
    <t>2013</t>
  </si>
  <si>
    <t>2014</t>
  </si>
  <si>
    <t>2015</t>
  </si>
  <si>
    <t>2016</t>
  </si>
  <si>
    <t>2017</t>
  </si>
  <si>
    <t>2018</t>
  </si>
  <si>
    <t>2019</t>
  </si>
  <si>
    <t>2020</t>
  </si>
  <si>
    <t>Total</t>
  </si>
  <si>
    <t>Republic of Macedonia</t>
  </si>
  <si>
    <t>Population</t>
  </si>
  <si>
    <t>Difference in bln MKD</t>
  </si>
  <si>
    <t>2023Q1</t>
  </si>
  <si>
    <t>2023Q2</t>
  </si>
  <si>
    <t>2023Q3</t>
  </si>
  <si>
    <t>2023Q4</t>
  </si>
  <si>
    <t>2024Q1</t>
  </si>
  <si>
    <t>2024Q2</t>
  </si>
  <si>
    <t>2024Q3</t>
  </si>
  <si>
    <t>2024Q4</t>
  </si>
  <si>
    <t>2025Q1</t>
  </si>
  <si>
    <t>2025Q2</t>
  </si>
  <si>
    <t>2025Q3</t>
  </si>
  <si>
    <t>2025Q4</t>
  </si>
  <si>
    <t>***if ranking increases by 1 point, gdp increases by 203.71 bln Denars</t>
  </si>
  <si>
    <t>Reforms on energy</t>
  </si>
  <si>
    <t>Note: for every 1% increase in energy sector reform index, it is estimated to have an increase of 0.09% in GDP per capita</t>
  </si>
  <si>
    <t>Note:if completed construction work increases by 1 bln Denars, GDP will increase by 0.0014%</t>
  </si>
  <si>
    <t>Note:if usage of internet increases by 1 percentage point, GDP will increase by 0.00054%</t>
  </si>
  <si>
    <t>value improvement</t>
  </si>
  <si>
    <t>Digitalization</t>
  </si>
  <si>
    <t> Digitalization</t>
  </si>
  <si>
    <t>Note: for an increase in ICT investment by 1%, GDP per capita is expected to increase by 0.02%</t>
  </si>
  <si>
    <t>Note : for an increase in ICT investment usage by 1%, GDP per capita is expected to increase 0.07%</t>
  </si>
  <si>
    <t>Structural Reform impacting usage of internet</t>
  </si>
  <si>
    <t>Reforms impacting digitalization-ICT investment</t>
  </si>
  <si>
    <t>Reforms impacting digitalization-ICT investment usage</t>
  </si>
  <si>
    <t>Real GDP in mil Base year 2005</t>
  </si>
  <si>
    <t>Investment in mil</t>
  </si>
  <si>
    <t>*** if no of days to start a business increases by 1, GDP decreases by 2.8 mil denar</t>
  </si>
  <si>
    <t>current health expenditure per capita in MKD</t>
  </si>
  <si>
    <t>Proxy data</t>
  </si>
  <si>
    <t>Energy</t>
  </si>
  <si>
    <t>Note: for an increae in Solar PV by 1 %, GDP per capita is expected to increase by 0.39</t>
  </si>
  <si>
    <t>Reforms impacting energy- Solar PV</t>
  </si>
  <si>
    <t>E governance</t>
  </si>
  <si>
    <t>Note: if E-government index improves by 1%, GDP will increase by 0.2%</t>
  </si>
  <si>
    <t>Structural Reform impacting E-governance</t>
  </si>
  <si>
    <t>Employment rate, by highest level of education attained, aged 25 to 64 years, by years</t>
  </si>
  <si>
    <t>a 10 percentage point increase in the macroeconomic mismatch</t>
  </si>
  <si>
    <t xml:space="preserve"> coincided with a labour productivity reduction between 19 and 23 percent.</t>
  </si>
  <si>
    <t>2021</t>
  </si>
  <si>
    <t>Pre-primary, primary and lower secondary education (levels 0-2)</t>
  </si>
  <si>
    <t>Upper secondary and post-secondary non-tertiary education (levels 3-4)</t>
  </si>
  <si>
    <t>Tertiary education (levels 5-6)</t>
  </si>
  <si>
    <t>𝐸𝑖, 𝑃𝑖 and 𝑒𝑖 for total</t>
  </si>
  <si>
    <t>employment, the working age population and the employment rate of group i respectively;</t>
  </si>
  <si>
    <t>Pre-primary</t>
  </si>
  <si>
    <t>Working age population by age and educational attainment, annual</t>
  </si>
  <si>
    <t>Without education</t>
  </si>
  <si>
    <t>Incomplete primary and lower secondary education</t>
  </si>
  <si>
    <t>Primary and lower secondary education</t>
  </si>
  <si>
    <t>3 years of secondary education</t>
  </si>
  <si>
    <t>4 years of secondary education</t>
  </si>
  <si>
    <t>Higher vocational education</t>
  </si>
  <si>
    <t>University level education</t>
  </si>
  <si>
    <t>Full time and part time employed by educational attainment and gender, annual</t>
  </si>
  <si>
    <t>3 and 4 years of secondary education</t>
  </si>
  <si>
    <t>&lt;a href=http://www.stat.gov.mk/MetodoloskiObjasSoop_en.aspx?id=98&amp;rbrObl=14 target=_blank&gt;&lt;font color=blue&gt;Methodological explanations&lt;/font&gt;&lt;/a&gt;</t>
  </si>
  <si>
    <t>&lt;a href=http://www.stat.gov.mk/simboli/KoristeniSimboli_en.html target=_blank&gt;&lt;font color=blue&gt;Symbols used&lt;/font&gt;&lt;/a&gt;</t>
  </si>
  <si>
    <t>Source: State Statistical Office</t>
  </si>
  <si>
    <t>Latest update:</t>
  </si>
  <si>
    <t>20230403 12:00</t>
  </si>
  <si>
    <t>Source:</t>
  </si>
  <si>
    <t>State Statistical Office</t>
  </si>
  <si>
    <t>Contact:</t>
  </si>
  <si>
    <t>Daniela Avramoska, danielaa@stat.gov.mk, tel: 389 2 3249 427, Ajrija Chaushoska, ajrija.causoska@stat.gov.mk, tel:389 2 3249 425</t>
  </si>
  <si>
    <t>Copyright</t>
  </si>
  <si>
    <t>Units:</t>
  </si>
  <si>
    <t>Percent</t>
  </si>
  <si>
    <t>Reference period:</t>
  </si>
  <si>
    <t>2006-2022</t>
  </si>
  <si>
    <t>Internal reference code:</t>
  </si>
  <si>
    <t>PD049E16</t>
  </si>
  <si>
    <t>Data: Working age population by age and educational attainment, annual</t>
  </si>
  <si>
    <t>Average</t>
  </si>
  <si>
    <t>Policy</t>
  </si>
  <si>
    <t>2022</t>
  </si>
  <si>
    <t>increase</t>
  </si>
  <si>
    <t>change</t>
  </si>
  <si>
    <t>Data: Full time and part time employed by educational attainment and gender, annual</t>
  </si>
  <si>
    <t>Calculation of the mismatch indicator</t>
  </si>
  <si>
    <t>Policy scenario</t>
  </si>
  <si>
    <t>Baseline scenario (no policy change - trend)</t>
  </si>
  <si>
    <t>Impact of policy</t>
  </si>
  <si>
    <t>Calculated education specific employment rates</t>
  </si>
  <si>
    <t>Create baseline "no policy change" scenario</t>
  </si>
  <si>
    <t>1.1</t>
  </si>
  <si>
    <t>Assume how the number of workforce and employed people will change for each education category.</t>
  </si>
  <si>
    <t>1.2</t>
  </si>
  <si>
    <t>In the example, it is assumed that each category will increase or decrease by the average annual change in the previous four years.</t>
  </si>
  <si>
    <t>1.3.</t>
  </si>
  <si>
    <t>Extrapolate the values for future years (start with past years for which data are not available. The column for policy change must be set to 0.</t>
  </si>
  <si>
    <t>1.4.</t>
  </si>
  <si>
    <t>Copy the values for the mismatch in the baseline scenario in a separate row.</t>
  </si>
  <si>
    <t>Create a policy change scenario for workforce</t>
  </si>
  <si>
    <t>2.1</t>
  </si>
  <si>
    <t>Assume the change in the structure of the workforce due to educational policy and write it in the column provided.</t>
  </si>
  <si>
    <t>2.2</t>
  </si>
  <si>
    <t>In the example, the policy increases the number of workforce with education levels "3 and 4 years of secondary" and "higher vocational".</t>
  </si>
  <si>
    <t>2.3</t>
  </si>
  <si>
    <t>Balance the change in the workforce: for each addition in one category, reduce the number in the "source category" (the current education level).</t>
  </si>
  <si>
    <t>2.4.</t>
  </si>
  <si>
    <t>In the example, the additions to "3 and 4 years of secondary" come from categories "primary and lower secondary" and "incomplete primary and lower secondary". The additions to "higher vocational" come from "3 and 4 years of secondary".</t>
  </si>
  <si>
    <t>Create a policy change scenario for employment</t>
  </si>
  <si>
    <t>3.1</t>
  </si>
  <si>
    <t>Assume the increase in employment in categories where the number of the workforce is changed by the policy.</t>
  </si>
  <si>
    <t>3.2</t>
  </si>
  <si>
    <t>In the example, it is assummed that 65% of additional people with "3 and 4 years of secondary education" and "higher vocational education" will be employed. This is higher than there current calculated employment rates due to better quality of education</t>
  </si>
  <si>
    <t>3.3</t>
  </si>
  <si>
    <t>For categories of workforce where the number decreases, reduce employment numbers.</t>
  </si>
  <si>
    <t>3.4</t>
  </si>
  <si>
    <t>In the example, the calculated employment rates for 2021 are used to reduce the number of employed in the categories where the total number of workforce is reduced.</t>
  </si>
  <si>
    <t>SA- GDP</t>
  </si>
  <si>
    <t>SA-Investment</t>
  </si>
  <si>
    <t>Coefficients/Assumptions</t>
  </si>
  <si>
    <t>Example of coefficients from Literature</t>
  </si>
  <si>
    <t>Scenario building STEPS</t>
  </si>
  <si>
    <t>Rationale behind the  regression models and literature review benchmarking</t>
  </si>
  <si>
    <t>Regression analysis is a statistical tool that is used in the quantification of the relationship between an independent variable and dependent variable/s based on observations that have been carried out in the past.When using results from the literature to for a particular structural reform measure, care should be taken not to overestimate the impact; the assumption used in the original study and the reliability of the estimated coefficient should always be considered.
Panel regressions are most often used for impact assessment.</t>
  </si>
  <si>
    <t>Sheets that contain methods for estimating reforms</t>
  </si>
  <si>
    <t>Sheets that contain historical data</t>
  </si>
  <si>
    <t>Sheets that contain background calculations</t>
  </si>
  <si>
    <t>Value Color</t>
  </si>
  <si>
    <t>Values in color black: historical data
Values in color blue: formulas from the same sheet
Values in color green: formulas from a different sheet
Values in color red: assumptions</t>
  </si>
  <si>
    <t>Sheet Color</t>
  </si>
  <si>
    <t>Note 2: Please insert your assumption on how much in % the X reform is expected to increase investment</t>
  </si>
  <si>
    <t>Impact of reform as % of Potential GDP (3 Years)</t>
  </si>
  <si>
    <t>Impact of reform on potential GDP in bln (3 years)</t>
  </si>
  <si>
    <t>% increase expected by reform per year</t>
  </si>
  <si>
    <t>Projections GDP</t>
  </si>
  <si>
    <t>GDP per capita</t>
  </si>
  <si>
    <t>Percent of GDP per medium term</t>
  </si>
  <si>
    <t>Result per medium term on Potential GDP</t>
  </si>
  <si>
    <t>Technical Note: Adding the HP Filter</t>
  </si>
  <si>
    <t>https://econpapers.repec.org/software/dgeqmrbcd/165.htm</t>
  </si>
  <si>
    <t>Download the HP filter from the link above and once you have saved it in a specific folder, open the excel file.</t>
  </si>
  <si>
    <t xml:space="preserve">Step 1: Open File, Options, Add-ins and Manage Excel Add-ins                                                                                                                                                                                                                                                                                    
</t>
  </si>
  <si>
    <t xml:space="preserve">Step 2: Press browse and go to the folder where the HP filter downloaded is saved and select it.                                                                                                                                                                                                                        </t>
  </si>
  <si>
    <t xml:space="preserve">Step 3: If the HP filter after the add in does not work and you still get errors in the excel file, try the following steps. In the Production Function Assessment sheet and in the Production Function sheet, open one of the cells that gives you an error and copy the text before the parentheses. Use this text in the Replace tab and replace it with HP.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</si>
</sst>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0.0"/>
    <numFmt numFmtId="165" formatCode="0.000"/>
    <numFmt numFmtId="166" formatCode="_(* #,##0_);_(* \(#,##0\);_(* &quot;-&quot;??_);_(@_)"/>
    <numFmt numFmtId="167" formatCode="0.0%"/>
    <numFmt numFmtId="168" formatCode="_(* #,##0.0_);_(* \(#,##0.0\);_(* &quot;-&quot;??_);_(@_)"/>
    <numFmt numFmtId="169" formatCode="0.0000"/>
    <numFmt numFmtId="170" formatCode="0.0_)"/>
    <numFmt numFmtId="171" formatCode="0.00000"/>
    <numFmt numFmtId="172" formatCode="0.000000"/>
    <numFmt numFmtId="173" formatCode="0.000%"/>
    <numFmt numFmtId="174" formatCode="0.0000%"/>
    <numFmt numFmtId="175" formatCode="0.00000%"/>
    <numFmt numFmtId="176" formatCode="_(* #,##0.0000000_);_(* \(#,##0.0000000\);_(* &quot;-&quot;??_);_(@_)"/>
    <numFmt numFmtId="177" formatCode="_(* #,##0.000_);_(* \(#,##0.000\);_(* &quot;-&quot;??_);_(@_)"/>
  </numFmts>
  <fonts count="34">
    <font>
      <sz val="11"/>
      <color theme="1"/>
      <name val="Calibri"/>
      <family val="2"/>
      <scheme val="minor"/>
    </font>
    <font>
      <sz val="11"/>
      <color theme="1"/>
      <name val="Calibri"/>
      <family val="2"/>
      <scheme val="minor"/>
    </font>
    <font>
      <sz val="11"/>
      <color rgb="FF000000"/>
      <name val="Calibri"/>
      <family val="2"/>
    </font>
    <font>
      <sz val="10"/>
      <name val="Arial"/>
      <family val="2"/>
    </font>
    <font>
      <i/>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sz val="11"/>
      <name val="Calibri"/>
      <family val="2"/>
    </font>
    <font>
      <sz val="9"/>
      <color indexed="81"/>
      <name val="Tahoma"/>
      <family val="2"/>
    </font>
    <font>
      <b/>
      <sz val="11"/>
      <color rgb="FF3F3F3F"/>
      <name val="Calibri"/>
      <family val="2"/>
      <scheme val="minor"/>
    </font>
    <font>
      <b/>
      <sz val="11"/>
      <color rgb="FFFA7D00"/>
      <name val="Calibri"/>
      <family val="2"/>
      <scheme val="minor"/>
    </font>
    <font>
      <sz val="10"/>
      <name val="Helv"/>
    </font>
    <font>
      <sz val="10"/>
      <name val="Times New Roman"/>
      <family val="1"/>
    </font>
    <font>
      <sz val="9"/>
      <color rgb="FF000000"/>
      <name val="Tahoma"/>
      <family val="2"/>
    </font>
    <font>
      <b/>
      <sz val="9"/>
      <color indexed="81"/>
      <name val="Tahoma"/>
      <family val="2"/>
    </font>
    <font>
      <b/>
      <sz val="11"/>
      <color theme="1"/>
      <name val="Calibri"/>
      <family val="2"/>
      <scheme val="minor"/>
    </font>
    <font>
      <b/>
      <sz val="11"/>
      <color rgb="FFFF0000"/>
      <name val="Calibri"/>
      <family val="2"/>
      <scheme val="minor"/>
    </font>
    <font>
      <b/>
      <i/>
      <sz val="11"/>
      <color rgb="FF7030A0"/>
      <name val="Calibri"/>
      <family val="2"/>
      <scheme val="minor"/>
    </font>
    <font>
      <sz val="10"/>
      <color rgb="FF212529"/>
      <name val="Metropolis-Regular"/>
    </font>
    <font>
      <b/>
      <sz val="11"/>
      <color rgb="FF000000"/>
      <name val="Calibri"/>
      <family val="2"/>
    </font>
    <font>
      <sz val="11"/>
      <color rgb="FF000000"/>
      <name val="Calibri"/>
      <family val="2"/>
      <scheme val="minor"/>
    </font>
    <font>
      <b/>
      <sz val="12"/>
      <name val="Calibri"/>
      <family val="2"/>
      <scheme val="minor"/>
    </font>
    <font>
      <b/>
      <sz val="11"/>
      <color theme="4"/>
      <name val="Calibri"/>
      <family val="2"/>
      <scheme val="minor"/>
    </font>
    <font>
      <sz val="11"/>
      <color theme="4"/>
      <name val="Calibri"/>
      <family val="2"/>
      <scheme val="minor"/>
    </font>
    <font>
      <b/>
      <sz val="11"/>
      <color theme="9" tint="-0.249977111117893"/>
      <name val="Calibri"/>
      <family val="2"/>
      <scheme val="minor"/>
    </font>
    <font>
      <b/>
      <sz val="11"/>
      <color theme="8" tint="-0.249977111117893"/>
      <name val="Calibri"/>
      <family val="2"/>
      <scheme val="minor"/>
    </font>
    <font>
      <b/>
      <i/>
      <sz val="11"/>
      <color theme="4"/>
      <name val="Calibri"/>
      <family val="2"/>
      <scheme val="minor"/>
    </font>
    <font>
      <b/>
      <sz val="11"/>
      <color rgb="FFFF0000"/>
      <name val="Calibri"/>
      <family val="2"/>
    </font>
    <font>
      <b/>
      <sz val="11"/>
      <color theme="4"/>
      <name val="Calibri"/>
      <family val="2"/>
    </font>
    <font>
      <i/>
      <sz val="11"/>
      <name val="Calibri"/>
      <family val="2"/>
      <scheme val="minor"/>
    </font>
    <font>
      <b/>
      <sz val="14"/>
      <name val="Calibri"/>
      <family val="2"/>
    </font>
    <font>
      <b/>
      <sz val="11"/>
      <name val="Calibri"/>
      <family val="2"/>
    </font>
    <font>
      <u/>
      <sz val="11"/>
      <color theme="1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2F2F2"/>
      </patternFill>
    </fill>
    <fill>
      <patternFill patternType="solid">
        <fgColor rgb="FFFFFFCC"/>
      </patternFill>
    </fill>
    <fill>
      <patternFill patternType="solid">
        <fgColor theme="5"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3"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13">
    <xf numFmtId="0" fontId="0" fillId="0" borderId="0"/>
    <xf numFmtId="43" fontId="1" fillId="0" borderId="0" applyFont="0" applyFill="0" applyBorder="0" applyAlignment="0" applyProtection="0"/>
    <xf numFmtId="0" fontId="2" fillId="0" borderId="0" applyNumberFormat="0" applyBorder="0" applyAlignment="0"/>
    <xf numFmtId="9" fontId="1" fillId="0" borderId="0" applyFont="0" applyFill="0" applyBorder="0" applyAlignment="0" applyProtection="0"/>
    <xf numFmtId="0" fontId="3" fillId="0" borderId="0"/>
    <xf numFmtId="0" fontId="8" fillId="0" borderId="0"/>
    <xf numFmtId="0" fontId="10" fillId="4" borderId="5" applyNumberFormat="0" applyAlignment="0" applyProtection="0"/>
    <xf numFmtId="0" fontId="11" fillId="4" borderId="4" applyNumberFormat="0" applyAlignment="0" applyProtection="0"/>
    <xf numFmtId="0" fontId="1" fillId="5" borderId="6" applyNumberFormat="0" applyFont="0" applyAlignment="0" applyProtection="0"/>
    <xf numFmtId="170" fontId="12" fillId="0" borderId="0"/>
    <xf numFmtId="43" fontId="2" fillId="0" borderId="0" applyFont="0" applyFill="0" applyBorder="0" applyAlignment="0" applyProtection="0"/>
    <xf numFmtId="0" fontId="2" fillId="0" borderId="0" applyBorder="0"/>
    <xf numFmtId="0" fontId="33" fillId="0" borderId="0" applyNumberFormat="0" applyFill="0" applyBorder="0" applyAlignment="0" applyProtection="0"/>
  </cellStyleXfs>
  <cellXfs count="284">
    <xf numFmtId="0" fontId="0" fillId="0" borderId="0" xfId="0"/>
    <xf numFmtId="164" fontId="0" fillId="0" borderId="0" xfId="0" applyNumberFormat="1"/>
    <xf numFmtId="3" fontId="0" fillId="0" borderId="0" xfId="0" applyNumberFormat="1"/>
    <xf numFmtId="166" fontId="0" fillId="2" borderId="0" xfId="1" applyNumberFormat="1" applyFont="1" applyFill="1"/>
    <xf numFmtId="9" fontId="0" fillId="0" borderId="0" xfId="3" applyFont="1"/>
    <xf numFmtId="0" fontId="5" fillId="3" borderId="0" xfId="0" applyFont="1" applyFill="1" applyAlignment="1">
      <alignment vertical="top" wrapText="1"/>
    </xf>
    <xf numFmtId="0" fontId="5" fillId="3" borderId="0" xfId="0" applyFont="1" applyFill="1"/>
    <xf numFmtId="0" fontId="5" fillId="3" borderId="1" xfId="0" applyFont="1" applyFill="1" applyBorder="1"/>
    <xf numFmtId="0" fontId="5" fillId="3" borderId="1" xfId="0" applyFont="1" applyFill="1" applyBorder="1" applyAlignment="1">
      <alignment vertical="top" wrapText="1"/>
    </xf>
    <xf numFmtId="0" fontId="5" fillId="3" borderId="1" xfId="0" applyFont="1" applyFill="1" applyBorder="1" applyAlignment="1">
      <alignment wrapText="1"/>
    </xf>
    <xf numFmtId="0" fontId="7" fillId="0" borderId="0" xfId="0" applyFont="1"/>
    <xf numFmtId="2" fontId="0" fillId="0" borderId="0" xfId="0" applyNumberFormat="1"/>
    <xf numFmtId="0" fontId="0" fillId="3" borderId="8" xfId="0" applyFill="1" applyBorder="1"/>
    <xf numFmtId="0" fontId="0" fillId="3" borderId="0" xfId="0" applyFill="1"/>
    <xf numFmtId="0" fontId="0" fillId="3" borderId="9" xfId="0" applyFill="1" applyBorder="1"/>
    <xf numFmtId="0" fontId="0" fillId="3" borderId="11" xfId="0" applyFill="1" applyBorder="1"/>
    <xf numFmtId="0" fontId="0" fillId="3" borderId="12" xfId="0" applyFill="1" applyBorder="1"/>
    <xf numFmtId="0" fontId="0" fillId="3" borderId="9" xfId="0" applyFill="1" applyBorder="1" applyAlignment="1">
      <alignment wrapText="1"/>
    </xf>
    <xf numFmtId="0" fontId="6" fillId="3" borderId="17" xfId="0" applyFont="1" applyFill="1" applyBorder="1" applyAlignment="1">
      <alignment wrapText="1"/>
    </xf>
    <xf numFmtId="0" fontId="16" fillId="3" borderId="18" xfId="0" applyFont="1" applyFill="1" applyBorder="1" applyAlignment="1">
      <alignment wrapText="1"/>
    </xf>
    <xf numFmtId="0" fontId="16" fillId="3" borderId="19" xfId="0" applyFont="1" applyFill="1" applyBorder="1" applyAlignment="1">
      <alignment wrapText="1"/>
    </xf>
    <xf numFmtId="0" fontId="0" fillId="0" borderId="1" xfId="0" applyBorder="1"/>
    <xf numFmtId="0" fontId="0" fillId="0" borderId="1" xfId="0" applyBorder="1" applyAlignment="1">
      <alignment horizontal="center"/>
    </xf>
    <xf numFmtId="164" fontId="0" fillId="0" borderId="0" xfId="0" applyNumberFormat="1" applyAlignment="1">
      <alignment horizontal="center"/>
    </xf>
    <xf numFmtId="43" fontId="2" fillId="0" borderId="0" xfId="10" applyFont="1" applyFill="1" applyAlignment="1" applyProtection="1"/>
    <xf numFmtId="1" fontId="0" fillId="0" borderId="18" xfId="1" applyNumberFormat="1" applyFont="1" applyBorder="1"/>
    <xf numFmtId="0" fontId="0" fillId="0" borderId="18" xfId="0" applyBorder="1" applyAlignment="1">
      <alignment horizontal="left"/>
    </xf>
    <xf numFmtId="164" fontId="0" fillId="0" borderId="18" xfId="0" applyNumberFormat="1" applyBorder="1"/>
    <xf numFmtId="164" fontId="0" fillId="6" borderId="18" xfId="0" applyNumberFormat="1" applyFill="1" applyBorder="1"/>
    <xf numFmtId="0" fontId="0" fillId="6" borderId="18" xfId="0" applyFill="1" applyBorder="1"/>
    <xf numFmtId="0" fontId="0" fillId="0" borderId="18" xfId="0" applyBorder="1"/>
    <xf numFmtId="0" fontId="0" fillId="0" borderId="21" xfId="0" applyBorder="1"/>
    <xf numFmtId="0" fontId="0" fillId="6" borderId="0" xfId="0" applyFill="1"/>
    <xf numFmtId="0" fontId="18" fillId="0" borderId="1" xfId="0" applyFont="1" applyBorder="1"/>
    <xf numFmtId="2" fontId="0" fillId="2" borderId="1" xfId="0" applyNumberFormat="1" applyFill="1" applyBorder="1"/>
    <xf numFmtId="2" fontId="0" fillId="0" borderId="1" xfId="0" applyNumberFormat="1" applyBorder="1"/>
    <xf numFmtId="164" fontId="0" fillId="0" borderId="1" xfId="0" applyNumberFormat="1" applyBorder="1"/>
    <xf numFmtId="0" fontId="7" fillId="0" borderId="1" xfId="0" applyFont="1" applyBorder="1"/>
    <xf numFmtId="0" fontId="0" fillId="0" borderId="1" xfId="0" applyBorder="1" applyAlignment="1">
      <alignment horizontal="right"/>
    </xf>
    <xf numFmtId="0" fontId="0" fillId="2" borderId="1" xfId="0" applyFill="1" applyBorder="1"/>
    <xf numFmtId="165" fontId="0" fillId="0" borderId="1" xfId="0" applyNumberFormat="1" applyBorder="1"/>
    <xf numFmtId="165" fontId="0" fillId="2" borderId="1" xfId="0" applyNumberFormat="1" applyFill="1" applyBorder="1"/>
    <xf numFmtId="0" fontId="18" fillId="0" borderId="0" xfId="0" applyFont="1"/>
    <xf numFmtId="0" fontId="0" fillId="0" borderId="0" xfId="0" applyAlignment="1">
      <alignment horizontal="center"/>
    </xf>
    <xf numFmtId="0" fontId="0" fillId="3" borderId="1" xfId="0" applyFill="1" applyBorder="1"/>
    <xf numFmtId="0" fontId="5" fillId="0" borderId="1" xfId="0" applyFont="1" applyBorder="1"/>
    <xf numFmtId="0" fontId="5" fillId="0" borderId="1" xfId="0" applyFont="1" applyBorder="1" applyAlignment="1">
      <alignment horizontal="center" vertical="center" wrapText="1"/>
    </xf>
    <xf numFmtId="0" fontId="6" fillId="0" borderId="1" xfId="0" applyFont="1" applyBorder="1" applyAlignment="1">
      <alignment horizontal="center"/>
    </xf>
    <xf numFmtId="164" fontId="5" fillId="0" borderId="1" xfId="0" applyNumberFormat="1" applyFont="1" applyBorder="1" applyAlignment="1">
      <alignment horizontal="center"/>
    </xf>
    <xf numFmtId="1" fontId="5" fillId="0" borderId="1" xfId="1" applyNumberFormat="1" applyFont="1" applyFill="1" applyBorder="1"/>
    <xf numFmtId="164" fontId="5" fillId="0" borderId="1" xfId="0" applyNumberFormat="1" applyFont="1" applyBorder="1"/>
    <xf numFmtId="0" fontId="22" fillId="7" borderId="1" xfId="0" applyFont="1" applyFill="1" applyBorder="1"/>
    <xf numFmtId="43" fontId="0" fillId="3" borderId="0" xfId="1" applyFont="1" applyFill="1"/>
    <xf numFmtId="10" fontId="0" fillId="3" borderId="0" xfId="3" applyNumberFormat="1" applyFont="1" applyFill="1"/>
    <xf numFmtId="1" fontId="0" fillId="3" borderId="0" xfId="0" applyNumberFormat="1" applyFill="1"/>
    <xf numFmtId="9" fontId="0" fillId="3" borderId="0" xfId="3" applyFont="1" applyFill="1" applyAlignment="1" applyProtection="1"/>
    <xf numFmtId="165" fontId="0" fillId="3" borderId="0" xfId="0" applyNumberFormat="1" applyFill="1"/>
    <xf numFmtId="166" fontId="0" fillId="3" borderId="0" xfId="1" applyNumberFormat="1" applyFont="1" applyFill="1"/>
    <xf numFmtId="2" fontId="0" fillId="3" borderId="0" xfId="3" applyNumberFormat="1" applyFont="1" applyFill="1"/>
    <xf numFmtId="172" fontId="0" fillId="3" borderId="0" xfId="3" applyNumberFormat="1" applyFont="1" applyFill="1"/>
    <xf numFmtId="2" fontId="0" fillId="3" borderId="0" xfId="0" applyNumberFormat="1" applyFill="1"/>
    <xf numFmtId="168" fontId="0" fillId="3" borderId="0" xfId="1" applyNumberFormat="1" applyFont="1" applyFill="1"/>
    <xf numFmtId="2" fontId="0" fillId="3" borderId="0" xfId="0" applyNumberFormat="1" applyFill="1" applyAlignment="1">
      <alignment horizontal="center"/>
    </xf>
    <xf numFmtId="167" fontId="0" fillId="3" borderId="0" xfId="3" applyNumberFormat="1" applyFont="1" applyFill="1"/>
    <xf numFmtId="167" fontId="4" fillId="3" borderId="0" xfId="3" applyNumberFormat="1" applyFont="1" applyFill="1"/>
    <xf numFmtId="0" fontId="4" fillId="3" borderId="0" xfId="0" applyFont="1" applyFill="1"/>
    <xf numFmtId="172" fontId="0" fillId="3" borderId="0" xfId="0" applyNumberFormat="1" applyFill="1"/>
    <xf numFmtId="0" fontId="21" fillId="3" borderId="0" xfId="0" applyFont="1" applyFill="1" applyAlignment="1">
      <alignment vertical="center"/>
    </xf>
    <xf numFmtId="176" fontId="0" fillId="3" borderId="0" xfId="0" applyNumberFormat="1" applyFill="1"/>
    <xf numFmtId="0" fontId="16" fillId="3" borderId="0" xfId="0" applyFont="1" applyFill="1"/>
    <xf numFmtId="43" fontId="0" fillId="3" borderId="0" xfId="0" applyNumberFormat="1" applyFill="1"/>
    <xf numFmtId="169" fontId="5" fillId="0" borderId="1" xfId="0" applyNumberFormat="1" applyFont="1" applyBorder="1"/>
    <xf numFmtId="9" fontId="0" fillId="3" borderId="0" xfId="3" applyFont="1" applyFill="1"/>
    <xf numFmtId="10" fontId="0" fillId="3" borderId="0" xfId="0" applyNumberFormat="1" applyFill="1"/>
    <xf numFmtId="173" fontId="0" fillId="3" borderId="0" xfId="0" applyNumberFormat="1" applyFill="1"/>
    <xf numFmtId="177" fontId="0" fillId="3" borderId="0" xfId="0" applyNumberFormat="1" applyFill="1"/>
    <xf numFmtId="0" fontId="2" fillId="0" borderId="0" xfId="11"/>
    <xf numFmtId="0" fontId="2" fillId="0" borderId="0" xfId="11" applyAlignment="1">
      <alignment horizontal="left"/>
    </xf>
    <xf numFmtId="0" fontId="2" fillId="3" borderId="0" xfId="11" applyFill="1"/>
    <xf numFmtId="0" fontId="20" fillId="3" borderId="0" xfId="11" applyFont="1" applyFill="1"/>
    <xf numFmtId="1" fontId="2" fillId="3" borderId="0" xfId="11" applyNumberFormat="1" applyFill="1"/>
    <xf numFmtId="165" fontId="2" fillId="3" borderId="0" xfId="11" applyNumberFormat="1" applyFill="1"/>
    <xf numFmtId="3" fontId="2" fillId="3" borderId="0" xfId="11" applyNumberFormat="1" applyFill="1"/>
    <xf numFmtId="0" fontId="0" fillId="3" borderId="10" xfId="0" applyFill="1" applyBorder="1"/>
    <xf numFmtId="10" fontId="17" fillId="3" borderId="9" xfId="0" applyNumberFormat="1" applyFont="1" applyFill="1" applyBorder="1"/>
    <xf numFmtId="0" fontId="7" fillId="3" borderId="8" xfId="0" applyFont="1" applyFill="1" applyBorder="1"/>
    <xf numFmtId="43" fontId="23" fillId="3" borderId="3" xfId="0" applyNumberFormat="1" applyFont="1" applyFill="1" applyBorder="1"/>
    <xf numFmtId="173" fontId="23" fillId="3" borderId="16" xfId="3" applyNumberFormat="1" applyFont="1" applyFill="1" applyBorder="1"/>
    <xf numFmtId="170" fontId="13" fillId="3" borderId="1" xfId="9" applyFont="1" applyFill="1" applyBorder="1" applyAlignment="1">
      <alignment horizontal="center" vertical="center" wrapText="1"/>
    </xf>
    <xf numFmtId="0" fontId="8" fillId="3" borderId="1" xfId="0" applyFont="1" applyFill="1" applyBorder="1" applyAlignment="1">
      <alignment horizontal="center" vertical="center" wrapText="1"/>
    </xf>
    <xf numFmtId="1" fontId="0" fillId="3" borderId="1" xfId="0" applyNumberFormat="1" applyFill="1" applyBorder="1"/>
    <xf numFmtId="9" fontId="0" fillId="3" borderId="1" xfId="3" applyFont="1" applyFill="1" applyBorder="1" applyAlignment="1" applyProtection="1"/>
    <xf numFmtId="165" fontId="0" fillId="3" borderId="1" xfId="0" applyNumberFormat="1" applyFill="1" applyBorder="1"/>
    <xf numFmtId="166" fontId="0" fillId="3" borderId="1" xfId="1" applyNumberFormat="1" applyFont="1" applyFill="1" applyBorder="1"/>
    <xf numFmtId="2" fontId="0" fillId="3" borderId="1" xfId="3" applyNumberFormat="1" applyFont="1" applyFill="1" applyBorder="1"/>
    <xf numFmtId="172" fontId="0" fillId="3" borderId="1" xfId="3" applyNumberFormat="1" applyFont="1" applyFill="1" applyBorder="1"/>
    <xf numFmtId="43" fontId="0" fillId="3" borderId="1" xfId="1" applyFont="1" applyFill="1" applyBorder="1"/>
    <xf numFmtId="2" fontId="0" fillId="3" borderId="1" xfId="0" applyNumberFormat="1" applyFill="1" applyBorder="1"/>
    <xf numFmtId="0" fontId="5" fillId="8" borderId="1" xfId="0" applyFont="1" applyFill="1" applyBorder="1" applyAlignment="1">
      <alignment wrapText="1"/>
    </xf>
    <xf numFmtId="170" fontId="13" fillId="8" borderId="1" xfId="9" applyFont="1" applyFill="1" applyBorder="1" applyAlignment="1">
      <alignment horizontal="center" vertical="center" wrapText="1"/>
    </xf>
    <xf numFmtId="0" fontId="8" fillId="8" borderId="1" xfId="0" applyFont="1" applyFill="1" applyBorder="1" applyAlignment="1">
      <alignment horizontal="center" vertical="center" wrapText="1"/>
    </xf>
    <xf numFmtId="166" fontId="23" fillId="3" borderId="1" xfId="1" applyNumberFormat="1" applyFont="1" applyFill="1" applyBorder="1"/>
    <xf numFmtId="166" fontId="25" fillId="3" borderId="1" xfId="1" applyNumberFormat="1" applyFont="1" applyFill="1" applyBorder="1"/>
    <xf numFmtId="166" fontId="26" fillId="3" borderId="1" xfId="1" applyNumberFormat="1" applyFont="1" applyFill="1" applyBorder="1"/>
    <xf numFmtId="165" fontId="23" fillId="3" borderId="1" xfId="0" applyNumberFormat="1" applyFont="1" applyFill="1" applyBorder="1"/>
    <xf numFmtId="2" fontId="23" fillId="3" borderId="1" xfId="0" applyNumberFormat="1" applyFont="1" applyFill="1" applyBorder="1"/>
    <xf numFmtId="168" fontId="23" fillId="3" borderId="1" xfId="1" applyNumberFormat="1" applyFont="1" applyFill="1" applyBorder="1"/>
    <xf numFmtId="43" fontId="23" fillId="3" borderId="1" xfId="1" applyFont="1" applyFill="1" applyBorder="1"/>
    <xf numFmtId="2" fontId="27" fillId="3" borderId="1" xfId="0" applyNumberFormat="1" applyFont="1" applyFill="1" applyBorder="1"/>
    <xf numFmtId="43" fontId="27" fillId="3" borderId="1" xfId="1" applyFont="1" applyFill="1" applyBorder="1"/>
    <xf numFmtId="165" fontId="27" fillId="3" borderId="1" xfId="0" applyNumberFormat="1" applyFont="1" applyFill="1" applyBorder="1"/>
    <xf numFmtId="0" fontId="23" fillId="3" borderId="1" xfId="0" applyFont="1" applyFill="1" applyBorder="1"/>
    <xf numFmtId="171" fontId="23" fillId="3" borderId="1" xfId="0" applyNumberFormat="1" applyFont="1" applyFill="1" applyBorder="1"/>
    <xf numFmtId="172" fontId="23" fillId="3" borderId="1" xfId="0" applyNumberFormat="1" applyFont="1" applyFill="1" applyBorder="1"/>
    <xf numFmtId="1" fontId="26" fillId="3" borderId="1" xfId="0" applyNumberFormat="1" applyFont="1" applyFill="1" applyBorder="1"/>
    <xf numFmtId="9" fontId="26" fillId="3" borderId="1" xfId="3" applyFont="1" applyFill="1" applyBorder="1" applyAlignment="1" applyProtection="1"/>
    <xf numFmtId="43" fontId="23" fillId="3" borderId="1" xfId="1" applyNumberFormat="1" applyFont="1" applyFill="1" applyBorder="1"/>
    <xf numFmtId="0" fontId="5" fillId="8" borderId="1" xfId="0" applyFont="1" applyFill="1" applyBorder="1"/>
    <xf numFmtId="0" fontId="8" fillId="8" borderId="1" xfId="0" applyFont="1" applyFill="1" applyBorder="1" applyAlignment="1">
      <alignment horizontal="center" vertical="center"/>
    </xf>
    <xf numFmtId="1" fontId="5" fillId="3" borderId="1" xfId="0" applyNumberFormat="1" applyFont="1" applyFill="1" applyBorder="1"/>
    <xf numFmtId="9" fontId="5" fillId="3" borderId="1" xfId="3" applyFont="1" applyFill="1" applyBorder="1" applyAlignment="1" applyProtection="1"/>
    <xf numFmtId="1" fontId="23" fillId="3" borderId="1" xfId="0" applyNumberFormat="1" applyFont="1" applyFill="1" applyBorder="1"/>
    <xf numFmtId="9" fontId="23" fillId="3" borderId="1" xfId="3" applyFont="1" applyFill="1" applyBorder="1" applyAlignment="1" applyProtection="1"/>
    <xf numFmtId="167" fontId="23" fillId="3" borderId="1" xfId="3" applyNumberFormat="1" applyFont="1" applyFill="1" applyBorder="1" applyAlignment="1" applyProtection="1"/>
    <xf numFmtId="43" fontId="6" fillId="3" borderId="1" xfId="0" applyNumberFormat="1" applyFont="1" applyFill="1" applyBorder="1"/>
    <xf numFmtId="165" fontId="17" fillId="3" borderId="1" xfId="0" applyNumberFormat="1" applyFont="1" applyFill="1" applyBorder="1"/>
    <xf numFmtId="0" fontId="0" fillId="3" borderId="1" xfId="0" applyFill="1" applyBorder="1" applyAlignment="1">
      <alignment horizontal="left"/>
    </xf>
    <xf numFmtId="175" fontId="0" fillId="3" borderId="1" xfId="0" applyNumberFormat="1" applyFill="1" applyBorder="1" applyAlignment="1">
      <alignment horizontal="left"/>
    </xf>
    <xf numFmtId="175" fontId="0" fillId="3" borderId="1" xfId="0" quotePrefix="1" applyNumberFormat="1" applyFill="1" applyBorder="1" applyAlignment="1">
      <alignment horizontal="left"/>
    </xf>
    <xf numFmtId="0" fontId="21" fillId="3" borderId="1" xfId="0" applyFont="1" applyFill="1" applyBorder="1" applyAlignment="1">
      <alignment horizontal="left" vertical="center"/>
    </xf>
    <xf numFmtId="0" fontId="21" fillId="0" borderId="1" xfId="0" applyFont="1" applyFill="1" applyBorder="1" applyAlignment="1">
      <alignment horizontal="left" vertical="center"/>
    </xf>
    <xf numFmtId="175" fontId="21" fillId="3" borderId="1" xfId="0" applyNumberFormat="1" applyFont="1" applyFill="1" applyBorder="1" applyAlignment="1">
      <alignment horizontal="left" vertical="center"/>
    </xf>
    <xf numFmtId="175" fontId="21" fillId="0" borderId="1" xfId="0" applyNumberFormat="1" applyFont="1" applyFill="1" applyBorder="1" applyAlignment="1">
      <alignment horizontal="left" vertical="center"/>
    </xf>
    <xf numFmtId="43" fontId="25" fillId="3" borderId="1" xfId="1" applyFont="1" applyFill="1" applyBorder="1"/>
    <xf numFmtId="43" fontId="25" fillId="3" borderId="1" xfId="0" applyNumberFormat="1" applyFont="1" applyFill="1" applyBorder="1"/>
    <xf numFmtId="174" fontId="25" fillId="3" borderId="1" xfId="3" applyNumberFormat="1" applyFont="1" applyFill="1" applyBorder="1"/>
    <xf numFmtId="0" fontId="20" fillId="3" borderId="1" xfId="0" applyFont="1" applyFill="1" applyBorder="1" applyAlignment="1">
      <alignment horizontal="left" vertical="top"/>
    </xf>
    <xf numFmtId="0" fontId="0" fillId="3" borderId="1" xfId="0" applyFill="1" applyBorder="1" applyAlignment="1">
      <alignment horizontal="left" vertical="top"/>
    </xf>
    <xf numFmtId="0" fontId="8" fillId="3" borderId="0" xfId="11" applyFont="1" applyFill="1"/>
    <xf numFmtId="0" fontId="28" fillId="3" borderId="0" xfId="11" applyFont="1" applyFill="1"/>
    <xf numFmtId="3" fontId="28" fillId="3" borderId="0" xfId="11" applyNumberFormat="1" applyFont="1" applyFill="1"/>
    <xf numFmtId="165" fontId="8" fillId="3" borderId="0" xfId="11" applyNumberFormat="1" applyFont="1" applyFill="1"/>
    <xf numFmtId="0" fontId="29" fillId="3" borderId="0" xfId="11" applyFont="1" applyFill="1"/>
    <xf numFmtId="0" fontId="20" fillId="3" borderId="1" xfId="11" applyFont="1" applyFill="1" applyBorder="1"/>
    <xf numFmtId="0" fontId="2" fillId="3" borderId="1" xfId="11" applyFill="1" applyBorder="1"/>
    <xf numFmtId="0" fontId="28" fillId="3" borderId="1" xfId="11" applyFont="1" applyFill="1" applyBorder="1"/>
    <xf numFmtId="0" fontId="2" fillId="3" borderId="1" xfId="11" applyFont="1" applyFill="1" applyBorder="1"/>
    <xf numFmtId="1" fontId="2" fillId="3" borderId="1" xfId="11" applyNumberFormat="1" applyFill="1" applyBorder="1"/>
    <xf numFmtId="3" fontId="2" fillId="3" borderId="1" xfId="11" applyNumberFormat="1" applyFill="1" applyBorder="1"/>
    <xf numFmtId="3" fontId="28" fillId="3" borderId="1" xfId="11" applyNumberFormat="1" applyFont="1" applyFill="1" applyBorder="1"/>
    <xf numFmtId="3" fontId="29" fillId="3" borderId="1" xfId="11" applyNumberFormat="1" applyFont="1" applyFill="1" applyBorder="1"/>
    <xf numFmtId="165" fontId="29" fillId="3" borderId="1" xfId="11" applyNumberFormat="1" applyFont="1" applyFill="1" applyBorder="1"/>
    <xf numFmtId="165" fontId="28" fillId="3" borderId="1" xfId="11" applyNumberFormat="1" applyFont="1" applyFill="1" applyBorder="1"/>
    <xf numFmtId="167" fontId="29" fillId="3" borderId="1" xfId="11" applyNumberFormat="1" applyFont="1" applyFill="1" applyBorder="1"/>
    <xf numFmtId="165" fontId="5" fillId="3" borderId="0" xfId="0" applyNumberFormat="1" applyFont="1" applyFill="1"/>
    <xf numFmtId="2" fontId="5" fillId="3" borderId="0" xfId="3" applyNumberFormat="1" applyFont="1" applyFill="1"/>
    <xf numFmtId="43" fontId="5" fillId="3" borderId="0" xfId="1" applyFont="1" applyFill="1"/>
    <xf numFmtId="2" fontId="5" fillId="3" borderId="0" xfId="0" applyNumberFormat="1" applyFont="1" applyFill="1"/>
    <xf numFmtId="168" fontId="5" fillId="3" borderId="0" xfId="1" applyNumberFormat="1" applyFont="1" applyFill="1"/>
    <xf numFmtId="2" fontId="5" fillId="3" borderId="0" xfId="0" applyNumberFormat="1" applyFont="1" applyFill="1" applyAlignment="1">
      <alignment horizontal="center"/>
    </xf>
    <xf numFmtId="167" fontId="5" fillId="3" borderId="0" xfId="3" applyNumberFormat="1" applyFont="1" applyFill="1"/>
    <xf numFmtId="167" fontId="30" fillId="3" borderId="0" xfId="3" applyNumberFormat="1" applyFont="1" applyFill="1"/>
    <xf numFmtId="0" fontId="30" fillId="3" borderId="0" xfId="0" applyFont="1" applyFill="1"/>
    <xf numFmtId="0" fontId="8" fillId="3" borderId="1" xfId="0" applyFont="1" applyFill="1" applyBorder="1" applyAlignment="1">
      <alignment horizontal="center" vertical="center"/>
    </xf>
    <xf numFmtId="166" fontId="5" fillId="3" borderId="1" xfId="1" applyNumberFormat="1" applyFont="1" applyFill="1" applyBorder="1" applyAlignment="1" applyProtection="1"/>
    <xf numFmtId="165" fontId="5" fillId="3" borderId="1" xfId="0" applyNumberFormat="1" applyFont="1" applyFill="1" applyBorder="1"/>
    <xf numFmtId="2" fontId="5" fillId="3" borderId="1" xfId="3" applyNumberFormat="1" applyFont="1" applyFill="1" applyBorder="1"/>
    <xf numFmtId="172" fontId="5" fillId="3" borderId="1" xfId="3" applyNumberFormat="1" applyFont="1" applyFill="1" applyBorder="1"/>
    <xf numFmtId="43" fontId="5" fillId="3" borderId="1" xfId="1" applyFont="1" applyFill="1" applyBorder="1"/>
    <xf numFmtId="0" fontId="8" fillId="0" borderId="1" xfId="0" applyFont="1" applyBorder="1" applyAlignment="1">
      <alignment horizontal="center" vertical="center" wrapText="1"/>
    </xf>
    <xf numFmtId="169" fontId="0" fillId="0" borderId="1" xfId="0" applyNumberFormat="1" applyBorder="1" applyAlignment="1">
      <alignment horizontal="center"/>
    </xf>
    <xf numFmtId="10" fontId="0" fillId="0" borderId="1" xfId="3" applyNumberFormat="1" applyFont="1" applyBorder="1" applyAlignment="1">
      <alignment horizontal="center"/>
    </xf>
    <xf numFmtId="167" fontId="0" fillId="0" borderId="1" xfId="3" applyNumberFormat="1" applyFont="1" applyBorder="1" applyAlignment="1">
      <alignment horizontal="center"/>
    </xf>
    <xf numFmtId="0" fontId="31" fillId="3" borderId="0" xfId="11" applyFont="1" applyFill="1"/>
    <xf numFmtId="0" fontId="8" fillId="3" borderId="0" xfId="11" applyFont="1" applyFill="1" applyAlignment="1">
      <alignment vertical="center"/>
    </xf>
    <xf numFmtId="0" fontId="32" fillId="3" borderId="0" xfId="11" applyFont="1" applyFill="1"/>
    <xf numFmtId="164" fontId="8" fillId="3" borderId="0" xfId="11" applyNumberFormat="1" applyFont="1" applyFill="1"/>
    <xf numFmtId="1" fontId="8" fillId="3" borderId="0" xfId="11" applyNumberFormat="1" applyFont="1" applyFill="1"/>
    <xf numFmtId="0" fontId="8" fillId="3" borderId="1" xfId="5" applyFill="1" applyBorder="1"/>
    <xf numFmtId="0" fontId="8" fillId="3" borderId="0" xfId="5" applyFill="1"/>
    <xf numFmtId="0" fontId="8" fillId="3" borderId="1" xfId="5" applyFill="1" applyBorder="1" applyAlignment="1">
      <alignment horizontal="center"/>
    </xf>
    <xf numFmtId="1" fontId="8" fillId="3" borderId="1" xfId="5" applyNumberFormat="1" applyFill="1" applyBorder="1"/>
    <xf numFmtId="1" fontId="8" fillId="3" borderId="0" xfId="5" applyNumberFormat="1" applyFill="1"/>
    <xf numFmtId="164" fontId="8" fillId="3" borderId="1" xfId="5" applyNumberFormat="1" applyFill="1" applyBorder="1"/>
    <xf numFmtId="2" fontId="8" fillId="3" borderId="1" xfId="5" applyNumberFormat="1" applyFill="1" applyBorder="1"/>
    <xf numFmtId="164" fontId="8" fillId="3" borderId="0" xfId="5" applyNumberFormat="1" applyFill="1"/>
    <xf numFmtId="2" fontId="8" fillId="3" borderId="0" xfId="5" applyNumberFormat="1" applyFill="1"/>
    <xf numFmtId="0" fontId="10" fillId="3" borderId="1" xfId="6" applyFill="1" applyBorder="1"/>
    <xf numFmtId="0" fontId="0" fillId="3" borderId="1" xfId="8" applyFont="1" applyFill="1" applyBorder="1"/>
    <xf numFmtId="167" fontId="0" fillId="3" borderId="1" xfId="3" applyNumberFormat="1" applyFont="1" applyFill="1" applyBorder="1"/>
    <xf numFmtId="0" fontId="20" fillId="3" borderId="0" xfId="0" applyFont="1" applyFill="1"/>
    <xf numFmtId="43" fontId="0" fillId="3" borderId="0" xfId="1" applyFont="1" applyFill="1" applyAlignment="1" applyProtection="1"/>
    <xf numFmtId="0" fontId="6" fillId="9" borderId="1" xfId="0" applyFont="1" applyFill="1" applyBorder="1"/>
    <xf numFmtId="0" fontId="0" fillId="9" borderId="1" xfId="0" applyFill="1" applyBorder="1" applyAlignment="1">
      <alignment horizontal="left"/>
    </xf>
    <xf numFmtId="0" fontId="28" fillId="9" borderId="1" xfId="11" applyFont="1" applyFill="1" applyBorder="1"/>
    <xf numFmtId="0" fontId="19" fillId="3" borderId="1" xfId="0" applyFont="1" applyFill="1" applyBorder="1" applyAlignment="1">
      <alignment vertical="top" wrapText="1"/>
    </xf>
    <xf numFmtId="0" fontId="5" fillId="10" borderId="1" xfId="0" applyFont="1" applyFill="1" applyBorder="1"/>
    <xf numFmtId="0" fontId="5" fillId="12" borderId="1" xfId="0" applyFont="1" applyFill="1" applyBorder="1"/>
    <xf numFmtId="0" fontId="5" fillId="11" borderId="1" xfId="0" applyFont="1" applyFill="1" applyBorder="1"/>
    <xf numFmtId="0" fontId="5" fillId="13" borderId="1" xfId="0" applyFont="1" applyFill="1" applyBorder="1"/>
    <xf numFmtId="43" fontId="5" fillId="13" borderId="1" xfId="0" applyNumberFormat="1" applyFont="1" applyFill="1" applyBorder="1"/>
    <xf numFmtId="10" fontId="5" fillId="13" borderId="1" xfId="0" applyNumberFormat="1" applyFont="1" applyFill="1" applyBorder="1"/>
    <xf numFmtId="165" fontId="5" fillId="13" borderId="1" xfId="0" applyNumberFormat="1" applyFont="1" applyFill="1" applyBorder="1"/>
    <xf numFmtId="164" fontId="5" fillId="13" borderId="1" xfId="0" applyNumberFormat="1" applyFont="1" applyFill="1" applyBorder="1"/>
    <xf numFmtId="2" fontId="5" fillId="13" borderId="1" xfId="0" applyNumberFormat="1" applyFont="1" applyFill="1" applyBorder="1"/>
    <xf numFmtId="10" fontId="5" fillId="13" borderId="1" xfId="3" applyNumberFormat="1" applyFont="1" applyFill="1" applyBorder="1"/>
    <xf numFmtId="9" fontId="5" fillId="13" borderId="1" xfId="0" applyNumberFormat="1" applyFont="1" applyFill="1" applyBorder="1"/>
    <xf numFmtId="2" fontId="7" fillId="13" borderId="1" xfId="0" applyNumberFormat="1" applyFont="1" applyFill="1" applyBorder="1"/>
    <xf numFmtId="165" fontId="23" fillId="13" borderId="1" xfId="0" applyNumberFormat="1" applyFont="1" applyFill="1" applyBorder="1"/>
    <xf numFmtId="0" fontId="0" fillId="3" borderId="0" xfId="0" applyFill="1" applyBorder="1"/>
    <xf numFmtId="1" fontId="0" fillId="3" borderId="0" xfId="0" applyNumberFormat="1" applyFill="1" applyBorder="1"/>
    <xf numFmtId="9" fontId="0" fillId="3" borderId="0" xfId="3" applyFont="1" applyFill="1" applyBorder="1" applyAlignment="1" applyProtection="1"/>
    <xf numFmtId="165" fontId="0" fillId="3" borderId="0" xfId="0" applyNumberFormat="1" applyFill="1" applyBorder="1"/>
    <xf numFmtId="166" fontId="23" fillId="3" borderId="0" xfId="1" applyNumberFormat="1" applyFont="1" applyFill="1" applyBorder="1"/>
    <xf numFmtId="2" fontId="0" fillId="3" borderId="0" xfId="3" applyNumberFormat="1" applyFont="1" applyFill="1" applyBorder="1"/>
    <xf numFmtId="172" fontId="0" fillId="3" borderId="0" xfId="3" applyNumberFormat="1" applyFont="1" applyFill="1" applyBorder="1"/>
    <xf numFmtId="43" fontId="0" fillId="3" borderId="0" xfId="1" applyFont="1" applyFill="1" applyBorder="1"/>
    <xf numFmtId="165" fontId="23" fillId="3" borderId="0" xfId="0" applyNumberFormat="1" applyFont="1" applyFill="1" applyBorder="1"/>
    <xf numFmtId="9" fontId="26" fillId="3" borderId="0" xfId="3" applyFont="1" applyFill="1" applyBorder="1" applyAlignment="1" applyProtection="1"/>
    <xf numFmtId="2" fontId="24" fillId="3" borderId="0" xfId="0" applyNumberFormat="1" applyFont="1" applyFill="1" applyBorder="1"/>
    <xf numFmtId="43" fontId="23" fillId="3" borderId="0" xfId="1" applyNumberFormat="1" applyFont="1" applyFill="1" applyBorder="1"/>
    <xf numFmtId="2" fontId="6" fillId="3" borderId="1" xfId="3" applyNumberFormat="1" applyFont="1" applyFill="1" applyBorder="1"/>
    <xf numFmtId="173" fontId="23" fillId="3" borderId="0" xfId="3" applyNumberFormat="1" applyFont="1" applyFill="1" applyBorder="1"/>
    <xf numFmtId="1" fontId="5" fillId="13" borderId="1" xfId="0" applyNumberFormat="1" applyFont="1" applyFill="1" applyBorder="1"/>
    <xf numFmtId="43" fontId="5" fillId="3" borderId="0" xfId="0" applyNumberFormat="1" applyFont="1" applyFill="1"/>
    <xf numFmtId="0" fontId="5" fillId="3" borderId="1" xfId="0" applyFont="1" applyFill="1" applyBorder="1" applyAlignment="1">
      <alignment horizontal="center"/>
    </xf>
    <xf numFmtId="0" fontId="5" fillId="3" borderId="22" xfId="0" applyFont="1" applyFill="1" applyBorder="1" applyAlignment="1">
      <alignment horizontal="center"/>
    </xf>
    <xf numFmtId="0" fontId="5" fillId="3" borderId="23" xfId="0" applyFont="1" applyFill="1" applyBorder="1" applyAlignment="1">
      <alignment horizontal="center"/>
    </xf>
    <xf numFmtId="0" fontId="5" fillId="3" borderId="18" xfId="0" applyFont="1" applyFill="1" applyBorder="1" applyAlignment="1">
      <alignment horizont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5" fillId="3" borderId="1" xfId="0" applyFont="1" applyFill="1" applyBorder="1" applyAlignment="1">
      <alignment horizontal="left"/>
    </xf>
    <xf numFmtId="0" fontId="33" fillId="3" borderId="1" xfId="12" applyFill="1" applyBorder="1" applyAlignment="1">
      <alignment horizontal="left"/>
    </xf>
    <xf numFmtId="0" fontId="5" fillId="3" borderId="2" xfId="12" applyFont="1" applyFill="1" applyBorder="1" applyAlignment="1">
      <alignment horizontal="left"/>
    </xf>
    <xf numFmtId="0" fontId="5" fillId="3" borderId="3" xfId="12" applyFont="1" applyFill="1" applyBorder="1" applyAlignment="1">
      <alignment horizontal="left"/>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0" fillId="8" borderId="13" xfId="0" applyFill="1" applyBorder="1" applyAlignment="1">
      <alignment horizontal="center"/>
    </xf>
    <xf numFmtId="0" fontId="0" fillId="8" borderId="14" xfId="0" applyFill="1" applyBorder="1" applyAlignment="1">
      <alignment horizontal="center"/>
    </xf>
    <xf numFmtId="0" fontId="16" fillId="8" borderId="13" xfId="0" applyFont="1" applyFill="1" applyBorder="1" applyAlignment="1">
      <alignment horizontal="center"/>
    </xf>
    <xf numFmtId="0" fontId="16" fillId="8" borderId="20" xfId="0" applyFont="1" applyFill="1" applyBorder="1" applyAlignment="1">
      <alignment horizontal="center"/>
    </xf>
    <xf numFmtId="0" fontId="16" fillId="8" borderId="14" xfId="0" applyFont="1" applyFill="1" applyBorder="1" applyAlignment="1">
      <alignment horizontal="center"/>
    </xf>
    <xf numFmtId="0" fontId="0" fillId="3" borderId="15" xfId="0" applyFill="1" applyBorder="1" applyAlignment="1">
      <alignment horizontal="left" wrapText="1"/>
    </xf>
    <xf numFmtId="0" fontId="0" fillId="3" borderId="16" xfId="0" applyFill="1" applyBorder="1" applyAlignment="1">
      <alignment horizontal="left" wrapText="1"/>
    </xf>
    <xf numFmtId="0" fontId="0" fillId="3" borderId="1" xfId="0" applyFill="1" applyBorder="1" applyAlignment="1">
      <alignment horizontal="left"/>
    </xf>
    <xf numFmtId="0" fontId="5" fillId="9" borderId="2" xfId="0" applyFont="1" applyFill="1" applyBorder="1" applyAlignment="1">
      <alignment horizontal="center"/>
    </xf>
    <xf numFmtId="0" fontId="5" fillId="9" borderId="3" xfId="0" applyFont="1" applyFill="1" applyBorder="1" applyAlignment="1">
      <alignment horizontal="center"/>
    </xf>
    <xf numFmtId="0" fontId="0" fillId="9" borderId="1" xfId="0" applyFill="1" applyBorder="1" applyAlignment="1">
      <alignment horizontal="left"/>
    </xf>
    <xf numFmtId="0" fontId="0" fillId="3" borderId="1" xfId="0" applyFill="1" applyBorder="1" applyAlignment="1">
      <alignment horizontal="left" vertical="top" wrapText="1"/>
    </xf>
    <xf numFmtId="0" fontId="2" fillId="3" borderId="1" xfId="0" applyFont="1" applyFill="1" applyBorder="1" applyAlignment="1">
      <alignment horizontal="left" vertical="top" wrapText="1"/>
    </xf>
    <xf numFmtId="0" fontId="20" fillId="9" borderId="1" xfId="11" applyFont="1" applyFill="1" applyBorder="1" applyAlignment="1">
      <alignment horizontal="center" vertical="center"/>
    </xf>
    <xf numFmtId="1" fontId="2" fillId="3" borderId="25" xfId="11" applyNumberFormat="1" applyFill="1" applyBorder="1" applyAlignment="1">
      <alignment horizontal="center"/>
    </xf>
    <xf numFmtId="1" fontId="2" fillId="3" borderId="26" xfId="11" applyNumberFormat="1" applyFill="1" applyBorder="1" applyAlignment="1">
      <alignment horizontal="center"/>
    </xf>
    <xf numFmtId="1" fontId="2" fillId="3" borderId="27" xfId="11" applyNumberFormat="1" applyFill="1" applyBorder="1" applyAlignment="1">
      <alignment horizontal="center"/>
    </xf>
    <xf numFmtId="1" fontId="2" fillId="3" borderId="24" xfId="11" applyNumberFormat="1" applyFill="1" applyBorder="1" applyAlignment="1">
      <alignment horizontal="center"/>
    </xf>
    <xf numFmtId="1" fontId="2" fillId="3" borderId="0" xfId="11" applyNumberFormat="1" applyFill="1" applyBorder="1" applyAlignment="1">
      <alignment horizontal="center"/>
    </xf>
    <xf numFmtId="1" fontId="2" fillId="3" borderId="28" xfId="11" applyNumberFormat="1" applyFill="1" applyBorder="1" applyAlignment="1">
      <alignment horizontal="center"/>
    </xf>
    <xf numFmtId="1" fontId="2" fillId="3" borderId="29" xfId="11" applyNumberFormat="1" applyFill="1" applyBorder="1" applyAlignment="1">
      <alignment horizontal="center"/>
    </xf>
    <xf numFmtId="1" fontId="2" fillId="3" borderId="21" xfId="11" applyNumberFormat="1" applyFill="1" applyBorder="1" applyAlignment="1">
      <alignment horizontal="center"/>
    </xf>
    <xf numFmtId="1" fontId="2" fillId="3" borderId="17" xfId="11" applyNumberFormat="1" applyFill="1" applyBorder="1" applyAlignment="1">
      <alignment horizontal="center"/>
    </xf>
    <xf numFmtId="0" fontId="2" fillId="3" borderId="25" xfId="11" applyFill="1" applyBorder="1" applyAlignment="1">
      <alignment horizontal="center"/>
    </xf>
    <xf numFmtId="0" fontId="2" fillId="3" borderId="26" xfId="11" applyFill="1" applyBorder="1" applyAlignment="1">
      <alignment horizontal="center"/>
    </xf>
    <xf numFmtId="0" fontId="2" fillId="3" borderId="27" xfId="11" applyFill="1" applyBorder="1" applyAlignment="1">
      <alignment horizontal="center"/>
    </xf>
    <xf numFmtId="0" fontId="2" fillId="3" borderId="24" xfId="11" applyFill="1" applyBorder="1" applyAlignment="1">
      <alignment horizontal="center"/>
    </xf>
    <xf numFmtId="0" fontId="2" fillId="3" borderId="0" xfId="11" applyFill="1" applyBorder="1" applyAlignment="1">
      <alignment horizontal="center"/>
    </xf>
    <xf numFmtId="0" fontId="2" fillId="3" borderId="28" xfId="11" applyFill="1" applyBorder="1" applyAlignment="1">
      <alignment horizontal="center"/>
    </xf>
    <xf numFmtId="0" fontId="2" fillId="3" borderId="29" xfId="11" applyFill="1" applyBorder="1" applyAlignment="1">
      <alignment horizontal="center"/>
    </xf>
    <xf numFmtId="0" fontId="2" fillId="3" borderId="21" xfId="11" applyFill="1" applyBorder="1" applyAlignment="1">
      <alignment horizontal="center"/>
    </xf>
    <xf numFmtId="0" fontId="2" fillId="3" borderId="17" xfId="11" applyFill="1" applyBorder="1" applyAlignment="1">
      <alignment horizontal="center"/>
    </xf>
    <xf numFmtId="0" fontId="20" fillId="9" borderId="2" xfId="11" applyFont="1" applyFill="1" applyBorder="1" applyAlignment="1">
      <alignment horizontal="center"/>
    </xf>
    <xf numFmtId="0" fontId="20" fillId="9" borderId="7" xfId="11" applyFont="1" applyFill="1" applyBorder="1" applyAlignment="1">
      <alignment horizontal="center"/>
    </xf>
    <xf numFmtId="0" fontId="20" fillId="9" borderId="3" xfId="11" applyFont="1" applyFill="1" applyBorder="1" applyAlignment="1">
      <alignment horizontal="center"/>
    </xf>
    <xf numFmtId="0" fontId="2" fillId="9" borderId="2" xfId="11" applyFill="1" applyBorder="1" applyAlignment="1">
      <alignment horizontal="center"/>
    </xf>
    <xf numFmtId="0" fontId="2" fillId="9" borderId="7" xfId="11" applyFill="1" applyBorder="1" applyAlignment="1">
      <alignment horizontal="center"/>
    </xf>
    <xf numFmtId="0" fontId="2" fillId="9" borderId="3" xfId="11" applyFill="1" applyBorder="1" applyAlignment="1">
      <alignment horizontal="center"/>
    </xf>
    <xf numFmtId="0" fontId="29" fillId="9" borderId="2" xfId="11" applyFont="1" applyFill="1" applyBorder="1" applyAlignment="1">
      <alignment horizontal="center"/>
    </xf>
    <xf numFmtId="0" fontId="29" fillId="9" borderId="7" xfId="11" applyFont="1" applyFill="1" applyBorder="1" applyAlignment="1">
      <alignment horizontal="center"/>
    </xf>
    <xf numFmtId="0" fontId="29" fillId="9" borderId="3" xfId="11" applyFont="1" applyFill="1" applyBorder="1" applyAlignment="1">
      <alignment horizontal="center"/>
    </xf>
    <xf numFmtId="0" fontId="8" fillId="2" borderId="1" xfId="0" applyFont="1" applyFill="1" applyBorder="1" applyAlignment="1">
      <alignment horizontal="center"/>
    </xf>
    <xf numFmtId="0" fontId="0" fillId="2" borderId="1" xfId="0" applyFill="1" applyBorder="1" applyAlignment="1">
      <alignment horizontal="center"/>
    </xf>
    <xf numFmtId="0" fontId="11" fillId="3" borderId="1" xfId="7" applyFill="1" applyBorder="1" applyAlignment="1">
      <alignment horizontal="center"/>
    </xf>
    <xf numFmtId="0" fontId="11" fillId="3" borderId="2" xfId="7" applyFill="1" applyBorder="1" applyAlignment="1">
      <alignment horizontal="center"/>
    </xf>
    <xf numFmtId="0" fontId="11" fillId="3" borderId="7" xfId="7" applyFill="1" applyBorder="1" applyAlignment="1">
      <alignment horizontal="center"/>
    </xf>
    <xf numFmtId="0" fontId="11" fillId="3" borderId="3" xfId="7" applyFill="1" applyBorder="1" applyAlignment="1">
      <alignment horizontal="center"/>
    </xf>
  </cellXfs>
  <cellStyles count="13">
    <cellStyle name="Calculation" xfId="7" builtinId="22"/>
    <cellStyle name="Comma" xfId="1" builtinId="3"/>
    <cellStyle name="Comma 2" xfId="10"/>
    <cellStyle name="Hyperlink" xfId="12" builtinId="8"/>
    <cellStyle name="Normal" xfId="0" builtinId="0"/>
    <cellStyle name="Normal 2" xfId="2"/>
    <cellStyle name="Normal 3" xfId="4"/>
    <cellStyle name="Normal 365" xfId="9"/>
    <cellStyle name="Normal 4" xfId="5"/>
    <cellStyle name="Normal 5" xfId="11"/>
    <cellStyle name="Note" xfId="8" builtinId="10"/>
    <cellStyle name="Output" xfId="6" builtinId="2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Output Gap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Cobb Douglas</c:v>
          </c:tx>
          <c:spPr>
            <a:ln w="28575" cap="rnd">
              <a:solidFill>
                <a:schemeClr val="accent1"/>
              </a:solidFill>
              <a:round/>
            </a:ln>
            <a:effectLst/>
          </c:spPr>
          <c:marker>
            <c:symbol val="none"/>
          </c:marker>
          <c:cat>
            <c:strRef>
              <c:f>'Assessment on Prod.F'!$A$15:$A$106</c:f>
              <c:strCache>
                <c:ptCount val="92"/>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strCache>
            </c:strRef>
          </c:cat>
          <c:val>
            <c:numRef>
              <c:f>'Assessment on Prod.F'!$U$15:$U$106</c:f>
              <c:numCache>
                <c:formatCode>0.000</c:formatCode>
                <c:ptCount val="92"/>
                <c:pt idx="0">
                  <c:v>2.2276077833134567</c:v>
                </c:pt>
                <c:pt idx="1">
                  <c:v>2.6465683149297536</c:v>
                </c:pt>
                <c:pt idx="2">
                  <c:v>4.7684467933082342</c:v>
                </c:pt>
                <c:pt idx="3">
                  <c:v>3.6174543880708399</c:v>
                </c:pt>
                <c:pt idx="4">
                  <c:v>6.1825483556629424</c:v>
                </c:pt>
                <c:pt idx="5">
                  <c:v>-3.7209080122346028</c:v>
                </c:pt>
                <c:pt idx="6">
                  <c:v>-5.3028931399631718</c:v>
                </c:pt>
                <c:pt idx="7">
                  <c:v>-2.6390183853014837</c:v>
                </c:pt>
                <c:pt idx="8">
                  <c:v>-2.6011824114483106</c:v>
                </c:pt>
                <c:pt idx="9">
                  <c:v>-1.9651035749352341</c:v>
                </c:pt>
                <c:pt idx="10">
                  <c:v>-1.4795034611650659</c:v>
                </c:pt>
                <c:pt idx="11">
                  <c:v>-1.9246587224051481</c:v>
                </c:pt>
                <c:pt idx="12">
                  <c:v>-2.6895595845874531</c:v>
                </c:pt>
                <c:pt idx="13">
                  <c:v>-3.0909985458333455</c:v>
                </c:pt>
                <c:pt idx="14">
                  <c:v>-2.5609879574309824</c:v>
                </c:pt>
                <c:pt idx="15">
                  <c:v>-1.5597473795263328</c:v>
                </c:pt>
                <c:pt idx="16">
                  <c:v>-2.2297063881638546</c:v>
                </c:pt>
                <c:pt idx="17">
                  <c:v>-1.6040316495958939</c:v>
                </c:pt>
                <c:pt idx="18">
                  <c:v>0.41670358417023046</c:v>
                </c:pt>
                <c:pt idx="19">
                  <c:v>0.91888098478587477</c:v>
                </c:pt>
                <c:pt idx="20">
                  <c:v>0.14306572273117268</c:v>
                </c:pt>
                <c:pt idx="21">
                  <c:v>0.70653429577614002</c:v>
                </c:pt>
                <c:pt idx="22">
                  <c:v>-0.57282485004889194</c:v>
                </c:pt>
                <c:pt idx="23">
                  <c:v>-0.4029241070221401</c:v>
                </c:pt>
                <c:pt idx="24">
                  <c:v>1.5449933113131031</c:v>
                </c:pt>
                <c:pt idx="25">
                  <c:v>-0.33111550414370861</c:v>
                </c:pt>
                <c:pt idx="26">
                  <c:v>-0.73752280507316526</c:v>
                </c:pt>
                <c:pt idx="27">
                  <c:v>-0.90363222466482984</c:v>
                </c:pt>
                <c:pt idx="28">
                  <c:v>-0.29553161789727111</c:v>
                </c:pt>
                <c:pt idx="29">
                  <c:v>1.3488763182304409</c:v>
                </c:pt>
                <c:pt idx="30">
                  <c:v>3.1735813523651624</c:v>
                </c:pt>
                <c:pt idx="31">
                  <c:v>3.683869325886624</c:v>
                </c:pt>
                <c:pt idx="32">
                  <c:v>3.4430804905863033</c:v>
                </c:pt>
                <c:pt idx="33">
                  <c:v>4.012408521730948</c:v>
                </c:pt>
                <c:pt idx="34">
                  <c:v>2.9543537682702015</c:v>
                </c:pt>
                <c:pt idx="35">
                  <c:v>1.150754114410435</c:v>
                </c:pt>
                <c:pt idx="36">
                  <c:v>-0.39104527659260535</c:v>
                </c:pt>
                <c:pt idx="37">
                  <c:v>-0.91799359362569888</c:v>
                </c:pt>
                <c:pt idx="38">
                  <c:v>-2.1926157416796377</c:v>
                </c:pt>
                <c:pt idx="39">
                  <c:v>0.19438681898671373</c:v>
                </c:pt>
                <c:pt idx="40">
                  <c:v>0.86238407817444962</c:v>
                </c:pt>
                <c:pt idx="41">
                  <c:v>-0.38255503718231942</c:v>
                </c:pt>
                <c:pt idx="42">
                  <c:v>1.9918446448727645</c:v>
                </c:pt>
                <c:pt idx="43">
                  <c:v>-0.43225646271344287</c:v>
                </c:pt>
                <c:pt idx="44">
                  <c:v>0.45814545929601103</c:v>
                </c:pt>
                <c:pt idx="45">
                  <c:v>1.0803907283676528</c:v>
                </c:pt>
                <c:pt idx="46">
                  <c:v>-0.41677258281135332</c:v>
                </c:pt>
                <c:pt idx="47">
                  <c:v>0.46856634795968688</c:v>
                </c:pt>
                <c:pt idx="48">
                  <c:v>-1.6081220297080034</c:v>
                </c:pt>
                <c:pt idx="49">
                  <c:v>-1.5483567684055233</c:v>
                </c:pt>
                <c:pt idx="50">
                  <c:v>-2.2270958309974831</c:v>
                </c:pt>
                <c:pt idx="51">
                  <c:v>-1.8920283722038245</c:v>
                </c:pt>
                <c:pt idx="52">
                  <c:v>-1.0226971280741681</c:v>
                </c:pt>
                <c:pt idx="53">
                  <c:v>-1.2952628165918134</c:v>
                </c:pt>
                <c:pt idx="54">
                  <c:v>-0.42783599578642972</c:v>
                </c:pt>
                <c:pt idx="55">
                  <c:v>-1.41673910104817</c:v>
                </c:pt>
                <c:pt idx="56">
                  <c:v>-0.53995435790935575</c:v>
                </c:pt>
                <c:pt idx="57">
                  <c:v>-5.6954573937273434E-2</c:v>
                </c:pt>
                <c:pt idx="58">
                  <c:v>-1.0180429545627812</c:v>
                </c:pt>
                <c:pt idx="59">
                  <c:v>-0.26336788747919337</c:v>
                </c:pt>
                <c:pt idx="60">
                  <c:v>0.48890703422197479</c:v>
                </c:pt>
                <c:pt idx="61">
                  <c:v>0.26356683819663829</c:v>
                </c:pt>
                <c:pt idx="62">
                  <c:v>0.9737377893668242</c:v>
                </c:pt>
                <c:pt idx="63">
                  <c:v>1.111065999446148</c:v>
                </c:pt>
                <c:pt idx="64">
                  <c:v>0.40311652324962477</c:v>
                </c:pt>
                <c:pt idx="65">
                  <c:v>1.0307351754405225</c:v>
                </c:pt>
                <c:pt idx="66">
                  <c:v>0.86406529196643156</c:v>
                </c:pt>
                <c:pt idx="67">
                  <c:v>0.83222551508328468</c:v>
                </c:pt>
                <c:pt idx="68">
                  <c:v>0.3478848554189895</c:v>
                </c:pt>
                <c:pt idx="69">
                  <c:v>-0.74571067117517043</c:v>
                </c:pt>
                <c:pt idx="70">
                  <c:v>-0.65183235648453852</c:v>
                </c:pt>
                <c:pt idx="71">
                  <c:v>-0.97340224303424927</c:v>
                </c:pt>
                <c:pt idx="72">
                  <c:v>-0.46314610082899277</c:v>
                </c:pt>
                <c:pt idx="73">
                  <c:v>-8.4276830471752273E-2</c:v>
                </c:pt>
                <c:pt idx="74">
                  <c:v>0.77396907061162423</c:v>
                </c:pt>
                <c:pt idx="75">
                  <c:v>1.7554802316938289</c:v>
                </c:pt>
                <c:pt idx="76">
                  <c:v>2.122925003730991</c:v>
                </c:pt>
                <c:pt idx="77">
                  <c:v>3.2021958873755141</c:v>
                </c:pt>
                <c:pt idx="78">
                  <c:v>3.0549569068042848</c:v>
                </c:pt>
                <c:pt idx="79">
                  <c:v>1.1625965504422631</c:v>
                </c:pt>
                <c:pt idx="80">
                  <c:v>0.5706173325542796</c:v>
                </c:pt>
                <c:pt idx="81">
                  <c:v>-12.906589762597386</c:v>
                </c:pt>
                <c:pt idx="82">
                  <c:v>-0.82256247857139808</c:v>
                </c:pt>
                <c:pt idx="83">
                  <c:v>-0.18723530146222966</c:v>
                </c:pt>
                <c:pt idx="84">
                  <c:v>-0.53073188497123613</c:v>
                </c:pt>
                <c:pt idx="85">
                  <c:v>-0.7638338293388891</c:v>
                </c:pt>
                <c:pt idx="86">
                  <c:v>-9.4067908233441688E-2</c:v>
                </c:pt>
                <c:pt idx="87">
                  <c:v>-0.17297013558293939</c:v>
                </c:pt>
                <c:pt idx="88">
                  <c:v>-0.48499212085962862</c:v>
                </c:pt>
                <c:pt idx="89">
                  <c:v>-0.33390686000402958</c:v>
                </c:pt>
                <c:pt idx="90">
                  <c:v>-0.69907798327987214</c:v>
                </c:pt>
                <c:pt idx="91">
                  <c:v>-0.89402438293424424</c:v>
                </c:pt>
              </c:numCache>
            </c:numRef>
          </c:val>
          <c:smooth val="0"/>
          <c:extLst>
            <c:ext xmlns:c16="http://schemas.microsoft.com/office/drawing/2014/chart" uri="{C3380CC4-5D6E-409C-BE32-E72D297353CC}">
              <c16:uniqueId val="{00000000-CA4B-4DFE-AA67-C7CE866E321C}"/>
            </c:ext>
          </c:extLst>
        </c:ser>
        <c:ser>
          <c:idx val="1"/>
          <c:order val="1"/>
          <c:tx>
            <c:v>HPFilter</c:v>
          </c:tx>
          <c:spPr>
            <a:ln w="28575" cap="rnd">
              <a:solidFill>
                <a:schemeClr val="accent2"/>
              </a:solidFill>
              <a:round/>
            </a:ln>
            <a:effectLst/>
          </c:spPr>
          <c:marker>
            <c:symbol val="none"/>
          </c:marker>
          <c:cat>
            <c:strRef>
              <c:f>'Assessment on Prod.F'!$A$15:$A$106</c:f>
              <c:strCache>
                <c:ptCount val="92"/>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strCache>
            </c:strRef>
          </c:cat>
          <c:val>
            <c:numRef>
              <c:f>'Assessment on Prod.F'!$V$15:$V$106</c:f>
              <c:numCache>
                <c:formatCode>0.000</c:formatCode>
                <c:ptCount val="92"/>
                <c:pt idx="0">
                  <c:v>2.9178825569624589</c:v>
                </c:pt>
                <c:pt idx="1">
                  <c:v>3.2578461613300469</c:v>
                </c:pt>
                <c:pt idx="2">
                  <c:v>5.7364407653058835</c:v>
                </c:pt>
                <c:pt idx="3">
                  <c:v>4.0211964588281246</c:v>
                </c:pt>
                <c:pt idx="4">
                  <c:v>6.8940849228297241</c:v>
                </c:pt>
                <c:pt idx="5">
                  <c:v>-3.263440977578369</c:v>
                </c:pt>
                <c:pt idx="6">
                  <c:v>-5.5029250263744833</c:v>
                </c:pt>
                <c:pt idx="7">
                  <c:v>-2.8853839952533766</c:v>
                </c:pt>
                <c:pt idx="8">
                  <c:v>-2.6960731340870181</c:v>
                </c:pt>
                <c:pt idx="9">
                  <c:v>-2.0373982764704701</c:v>
                </c:pt>
                <c:pt idx="10">
                  <c:v>-1.6121838231754726</c:v>
                </c:pt>
                <c:pt idx="11">
                  <c:v>-1.9021384138725117</c:v>
                </c:pt>
                <c:pt idx="12">
                  <c:v>-2.4412587395936991</c:v>
                </c:pt>
                <c:pt idx="13">
                  <c:v>-2.9665548227793326</c:v>
                </c:pt>
                <c:pt idx="14">
                  <c:v>-2.4266869473450581</c:v>
                </c:pt>
                <c:pt idx="15">
                  <c:v>-1.8559766910205555</c:v>
                </c:pt>
                <c:pt idx="16">
                  <c:v>-2.9028154243286974</c:v>
                </c:pt>
                <c:pt idx="17">
                  <c:v>-2.1370481138559327</c:v>
                </c:pt>
                <c:pt idx="18">
                  <c:v>2.7935748902829793E-2</c:v>
                </c:pt>
                <c:pt idx="19">
                  <c:v>1.1381853573045442</c:v>
                </c:pt>
                <c:pt idx="20">
                  <c:v>-8.6839669501737049E-3</c:v>
                </c:pt>
                <c:pt idx="21">
                  <c:v>1.2384019989015949</c:v>
                </c:pt>
                <c:pt idx="22">
                  <c:v>-0.53314369481313184</c:v>
                </c:pt>
                <c:pt idx="23">
                  <c:v>-0.7098961634478318</c:v>
                </c:pt>
                <c:pt idx="24">
                  <c:v>1.0882364232913444</c:v>
                </c:pt>
                <c:pt idx="25">
                  <c:v>-0.6294988480694097</c:v>
                </c:pt>
                <c:pt idx="26">
                  <c:v>-1.0946635213383349</c:v>
                </c:pt>
                <c:pt idx="27">
                  <c:v>-1.4776959021979841</c:v>
                </c:pt>
                <c:pt idx="28">
                  <c:v>-1.1024811753441388</c:v>
                </c:pt>
                <c:pt idx="29">
                  <c:v>-8.0169111665417958E-2</c:v>
                </c:pt>
                <c:pt idx="30">
                  <c:v>2.2820331201879318</c:v>
                </c:pt>
                <c:pt idx="31">
                  <c:v>3.2267523435898893</c:v>
                </c:pt>
                <c:pt idx="32">
                  <c:v>3.0761658134764058</c:v>
                </c:pt>
                <c:pt idx="33">
                  <c:v>4.0768251907287834</c:v>
                </c:pt>
                <c:pt idx="34">
                  <c:v>3.3317281928512799</c:v>
                </c:pt>
                <c:pt idx="35">
                  <c:v>1.6284332760400311</c:v>
                </c:pt>
                <c:pt idx="36">
                  <c:v>0.61068680786557916</c:v>
                </c:pt>
                <c:pt idx="37">
                  <c:v>0.11475510428904379</c:v>
                </c:pt>
                <c:pt idx="38">
                  <c:v>-1.6728403017208793</c:v>
                </c:pt>
                <c:pt idx="39">
                  <c:v>0.73770545330349435</c:v>
                </c:pt>
                <c:pt idx="40">
                  <c:v>1.006556529140501</c:v>
                </c:pt>
                <c:pt idx="41">
                  <c:v>-0.43686477387993028</c:v>
                </c:pt>
                <c:pt idx="42">
                  <c:v>1.9629615909113829</c:v>
                </c:pt>
                <c:pt idx="43">
                  <c:v>-0.57308773856880046</c:v>
                </c:pt>
                <c:pt idx="44">
                  <c:v>0.60748693272405507</c:v>
                </c:pt>
                <c:pt idx="45">
                  <c:v>0.96664839962317117</c:v>
                </c:pt>
                <c:pt idx="46">
                  <c:v>-0.42629509533808063</c:v>
                </c:pt>
                <c:pt idx="47">
                  <c:v>0.3716737013087057</c:v>
                </c:pt>
                <c:pt idx="48">
                  <c:v>-1.5736450027838078</c:v>
                </c:pt>
                <c:pt idx="49">
                  <c:v>-1.4610923230301998</c:v>
                </c:pt>
                <c:pt idx="50">
                  <c:v>-2.0550536392444529</c:v>
                </c:pt>
                <c:pt idx="51">
                  <c:v>-1.7872332812884695</c:v>
                </c:pt>
                <c:pt idx="52">
                  <c:v>-1.3748340915432755</c:v>
                </c:pt>
                <c:pt idx="53">
                  <c:v>-1.5579849161054038</c:v>
                </c:pt>
                <c:pt idx="54">
                  <c:v>-0.5972551665840653</c:v>
                </c:pt>
                <c:pt idx="55">
                  <c:v>-1.6347695106212479</c:v>
                </c:pt>
                <c:pt idx="56">
                  <c:v>-0.7562753556062507</c:v>
                </c:pt>
                <c:pt idx="57">
                  <c:v>-9.751578581033149E-2</c:v>
                </c:pt>
                <c:pt idx="58">
                  <c:v>-0.9597536311552135</c:v>
                </c:pt>
                <c:pt idx="59">
                  <c:v>-0.55407484405174401</c:v>
                </c:pt>
                <c:pt idx="60">
                  <c:v>0.17351437270571868</c:v>
                </c:pt>
                <c:pt idx="61">
                  <c:v>-0.1776036693858507</c:v>
                </c:pt>
                <c:pt idx="62">
                  <c:v>0.56186597652374548</c:v>
                </c:pt>
                <c:pt idx="63">
                  <c:v>0.93905202316968417</c:v>
                </c:pt>
                <c:pt idx="64">
                  <c:v>0.26144770849101384</c:v>
                </c:pt>
                <c:pt idx="65">
                  <c:v>1.2247669820939722</c:v>
                </c:pt>
                <c:pt idx="66">
                  <c:v>1.2771695386605941</c:v>
                </c:pt>
                <c:pt idx="67">
                  <c:v>1.3008744131472572</c:v>
                </c:pt>
                <c:pt idx="68">
                  <c:v>1.1131798014397898</c:v>
                </c:pt>
                <c:pt idx="69">
                  <c:v>-5.8570161904880624E-2</c:v>
                </c:pt>
                <c:pt idx="70">
                  <c:v>-8.6054953262504341E-2</c:v>
                </c:pt>
                <c:pt idx="71">
                  <c:v>-0.48992918731783908</c:v>
                </c:pt>
                <c:pt idx="72">
                  <c:v>0.14301446265216899</c:v>
                </c:pt>
                <c:pt idx="73">
                  <c:v>0.30545690417387306</c:v>
                </c:pt>
                <c:pt idx="74">
                  <c:v>1.0398394307766345</c:v>
                </c:pt>
                <c:pt idx="75">
                  <c:v>2.2559395622822498</c:v>
                </c:pt>
                <c:pt idx="76">
                  <c:v>2.6933933475778993</c:v>
                </c:pt>
                <c:pt idx="77">
                  <c:v>3.7518361629551356</c:v>
                </c:pt>
                <c:pt idx="78">
                  <c:v>3.7700432013677343</c:v>
                </c:pt>
                <c:pt idx="79">
                  <c:v>2.1675004662303099</c:v>
                </c:pt>
                <c:pt idx="80">
                  <c:v>1.4607104631515933</c:v>
                </c:pt>
                <c:pt idx="81">
                  <c:v>-12.785300245517362</c:v>
                </c:pt>
                <c:pt idx="82">
                  <c:v>-0.5438880824308101</c:v>
                </c:pt>
                <c:pt idx="83">
                  <c:v>6.6420789464283203E-2</c:v>
                </c:pt>
                <c:pt idx="84">
                  <c:v>-0.63217565440837342</c:v>
                </c:pt>
                <c:pt idx="85">
                  <c:v>-1.2299192152170679</c:v>
                </c:pt>
                <c:pt idx="86">
                  <c:v>-0.63015826545007592</c:v>
                </c:pt>
                <c:pt idx="87">
                  <c:v>-0.52593247794029407</c:v>
                </c:pt>
                <c:pt idx="88">
                  <c:v>-0.77547559024191415</c:v>
                </c:pt>
                <c:pt idx="89">
                  <c:v>-0.51636988626645453</c:v>
                </c:pt>
                <c:pt idx="90">
                  <c:v>-0.89314276493173139</c:v>
                </c:pt>
                <c:pt idx="91">
                  <c:v>-1.1370900648571158</c:v>
                </c:pt>
              </c:numCache>
            </c:numRef>
          </c:val>
          <c:smooth val="0"/>
          <c:extLst>
            <c:ext xmlns:c16="http://schemas.microsoft.com/office/drawing/2014/chart" uri="{C3380CC4-5D6E-409C-BE32-E72D297353CC}">
              <c16:uniqueId val="{00000001-CA4B-4DFE-AA67-C7CE866E321C}"/>
            </c:ext>
          </c:extLst>
        </c:ser>
        <c:dLbls>
          <c:showLegendKey val="0"/>
          <c:showVal val="0"/>
          <c:showCatName val="0"/>
          <c:showSerName val="0"/>
          <c:showPercent val="0"/>
          <c:showBubbleSize val="0"/>
        </c:dLbls>
        <c:smooth val="0"/>
        <c:axId val="2050977391"/>
        <c:axId val="2038695327"/>
      </c:lineChart>
      <c:catAx>
        <c:axId val="2050977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8695327"/>
        <c:crosses val="autoZero"/>
        <c:auto val="1"/>
        <c:lblAlgn val="ctr"/>
        <c:lblOffset val="100"/>
        <c:noMultiLvlLbl val="0"/>
      </c:catAx>
      <c:valAx>
        <c:axId val="2038695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0977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pillar 1 vs gdp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222550910417982E-2"/>
          <c:y val="0.14393518518518519"/>
          <c:w val="0.883353973018566"/>
          <c:h val="0.72088764946048411"/>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3.4418197725284337E-2"/>
                  <c:y val="0.1940277777777777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'Simple regressions'!$C$3:$C$23</c:f>
              <c:numCache>
                <c:formatCode>0.0000</c:formatCode>
                <c:ptCount val="21"/>
                <c:pt idx="0">
                  <c:v>-0.83855319023132324</c:v>
                </c:pt>
                <c:pt idx="1">
                  <c:v>-0.83855319023132324</c:v>
                </c:pt>
                <c:pt idx="2">
                  <c:v>-0.5711672306060791</c:v>
                </c:pt>
                <c:pt idx="3">
                  <c:v>-0.41115620732307434</c:v>
                </c:pt>
                <c:pt idx="4">
                  <c:v>-0.18028764426708221</c:v>
                </c:pt>
                <c:pt idx="5">
                  <c:v>-0.33900865912437439</c:v>
                </c:pt>
                <c:pt idx="6">
                  <c:v>-0.13468649983406067</c:v>
                </c:pt>
                <c:pt idx="7">
                  <c:v>-0.24419380724430084</c:v>
                </c:pt>
                <c:pt idx="8">
                  <c:v>-9.5967896282672882E-2</c:v>
                </c:pt>
                <c:pt idx="9">
                  <c:v>-0.1358233243227005</c:v>
                </c:pt>
                <c:pt idx="10">
                  <c:v>-0.18786042928695679</c:v>
                </c:pt>
                <c:pt idx="11">
                  <c:v>-0.22972145676612854</c:v>
                </c:pt>
                <c:pt idx="12">
                  <c:v>-0.21710863709449768</c:v>
                </c:pt>
                <c:pt idx="13">
                  <c:v>-0.17367342114448547</c:v>
                </c:pt>
                <c:pt idx="14">
                  <c:v>1.6454886645078659E-2</c:v>
                </c:pt>
                <c:pt idx="15">
                  <c:v>1.6289704944938421E-3</c:v>
                </c:pt>
                <c:pt idx="16">
                  <c:v>2.1209586411714554E-3</c:v>
                </c:pt>
                <c:pt idx="17">
                  <c:v>1.9064558669924736E-2</c:v>
                </c:pt>
                <c:pt idx="18">
                  <c:v>8.6029782891273499E-2</c:v>
                </c:pt>
                <c:pt idx="19">
                  <c:v>-9.7226731479167938E-2</c:v>
                </c:pt>
                <c:pt idx="20">
                  <c:v>6.3724368810653687E-2</c:v>
                </c:pt>
              </c:numCache>
            </c:numRef>
          </c:xVal>
          <c:yVal>
            <c:numRef>
              <c:f>'Simple regressions'!$N$3:$N$23</c:f>
              <c:numCache>
                <c:formatCode>0.0</c:formatCode>
                <c:ptCount val="21"/>
                <c:pt idx="0">
                  <c:v>279.79399999999998</c:v>
                </c:pt>
                <c:pt idx="1">
                  <c:v>271.21199999999999</c:v>
                </c:pt>
                <c:pt idx="2">
                  <c:v>275.26299999999998</c:v>
                </c:pt>
                <c:pt idx="3">
                  <c:v>281.38099999999997</c:v>
                </c:pt>
                <c:pt idx="4">
                  <c:v>294.53399999999999</c:v>
                </c:pt>
                <c:pt idx="5">
                  <c:v>308.447</c:v>
                </c:pt>
                <c:pt idx="6">
                  <c:v>324.29199999999997</c:v>
                </c:pt>
                <c:pt idx="7">
                  <c:v>345.28500000000003</c:v>
                </c:pt>
                <c:pt idx="8">
                  <c:v>364.17899999999997</c:v>
                </c:pt>
                <c:pt idx="9">
                  <c:v>362.87299999999999</c:v>
                </c:pt>
                <c:pt idx="10">
                  <c:v>375.06099999999998</c:v>
                </c:pt>
                <c:pt idx="11">
                  <c:v>383.83699999999999</c:v>
                </c:pt>
                <c:pt idx="12">
                  <c:v>382.08699999999999</c:v>
                </c:pt>
                <c:pt idx="13">
                  <c:v>393.262</c:v>
                </c:pt>
                <c:pt idx="14">
                  <c:v>407.536</c:v>
                </c:pt>
                <c:pt idx="15">
                  <c:v>423.24900000000002</c:v>
                </c:pt>
                <c:pt idx="16">
                  <c:v>435.30500000000001</c:v>
                </c:pt>
                <c:pt idx="17">
                  <c:v>440.01400000000001</c:v>
                </c:pt>
                <c:pt idx="18">
                  <c:v>452.68799999999999</c:v>
                </c:pt>
                <c:pt idx="19">
                  <c:v>470.38900000000001</c:v>
                </c:pt>
                <c:pt idx="20">
                  <c:v>448.33699999999999</c:v>
                </c:pt>
              </c:numCache>
            </c:numRef>
          </c:yVal>
          <c:smooth val="0"/>
          <c:extLst>
            <c:ext xmlns:c16="http://schemas.microsoft.com/office/drawing/2014/chart" uri="{C3380CC4-5D6E-409C-BE32-E72D297353CC}">
              <c16:uniqueId val="{00000000-13C5-47CE-87B6-AD8F5E758994}"/>
            </c:ext>
          </c:extLst>
        </c:ser>
        <c:dLbls>
          <c:showLegendKey val="0"/>
          <c:showVal val="0"/>
          <c:showCatName val="0"/>
          <c:showSerName val="0"/>
          <c:showPercent val="0"/>
          <c:showBubbleSize val="0"/>
        </c:dLbls>
        <c:axId val="400436800"/>
        <c:axId val="502310176"/>
      </c:scatterChart>
      <c:valAx>
        <c:axId val="400436800"/>
        <c:scaling>
          <c:orientation val="minMax"/>
        </c:scaling>
        <c:delete val="0"/>
        <c:axPos val="b"/>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310176"/>
        <c:crosses val="autoZero"/>
        <c:crossBetween val="midCat"/>
      </c:valAx>
      <c:valAx>
        <c:axId val="502310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436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pillar 2 vs gdp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8474816560338717"/>
                  <c:y val="4.2129629629629626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'Simple regressions'!$D$3:$D$23</c:f>
              <c:numCache>
                <c:formatCode>0.0</c:formatCode>
                <c:ptCount val="21"/>
                <c:pt idx="0">
                  <c:v>19.549519</c:v>
                </c:pt>
                <c:pt idx="1">
                  <c:v>15.114439000000001</c:v>
                </c:pt>
                <c:pt idx="2">
                  <c:v>15.682703</c:v>
                </c:pt>
                <c:pt idx="3">
                  <c:v>18.452345000000001</c:v>
                </c:pt>
                <c:pt idx="4">
                  <c:v>22.108571999999999</c:v>
                </c:pt>
                <c:pt idx="5">
                  <c:v>19.482234000000002</c:v>
                </c:pt>
                <c:pt idx="6">
                  <c:v>23.910426999999999</c:v>
                </c:pt>
                <c:pt idx="7">
                  <c:v>22.258526000000003</c:v>
                </c:pt>
                <c:pt idx="8">
                  <c:v>23.702630000000003</c:v>
                </c:pt>
                <c:pt idx="9">
                  <c:v>22.942484</c:v>
                </c:pt>
                <c:pt idx="10">
                  <c:v>25.025815999999999</c:v>
                </c:pt>
                <c:pt idx="11">
                  <c:v>27.343129000000001</c:v>
                </c:pt>
                <c:pt idx="12">
                  <c:v>31.494705999999997</c:v>
                </c:pt>
                <c:pt idx="13">
                  <c:v>37.750104</c:v>
                </c:pt>
                <c:pt idx="14">
                  <c:v>34.813935999999998</c:v>
                </c:pt>
                <c:pt idx="15">
                  <c:v>41.209648000000001</c:v>
                </c:pt>
                <c:pt idx="16">
                  <c:v>45.649932999999997</c:v>
                </c:pt>
                <c:pt idx="17">
                  <c:v>39.798019000000004</c:v>
                </c:pt>
                <c:pt idx="18">
                  <c:v>37.537656999999996</c:v>
                </c:pt>
                <c:pt idx="19">
                  <c:v>39.782633000000004</c:v>
                </c:pt>
                <c:pt idx="20">
                  <c:v>40.458938000000003</c:v>
                </c:pt>
              </c:numCache>
            </c:numRef>
          </c:xVal>
          <c:yVal>
            <c:numRef>
              <c:f>'Simple regressions'!$N$3:$N$23</c:f>
              <c:numCache>
                <c:formatCode>0.0</c:formatCode>
                <c:ptCount val="21"/>
                <c:pt idx="0">
                  <c:v>279.79399999999998</c:v>
                </c:pt>
                <c:pt idx="1">
                  <c:v>271.21199999999999</c:v>
                </c:pt>
                <c:pt idx="2">
                  <c:v>275.26299999999998</c:v>
                </c:pt>
                <c:pt idx="3">
                  <c:v>281.38099999999997</c:v>
                </c:pt>
                <c:pt idx="4">
                  <c:v>294.53399999999999</c:v>
                </c:pt>
                <c:pt idx="5">
                  <c:v>308.447</c:v>
                </c:pt>
                <c:pt idx="6">
                  <c:v>324.29199999999997</c:v>
                </c:pt>
                <c:pt idx="7">
                  <c:v>345.28500000000003</c:v>
                </c:pt>
                <c:pt idx="8">
                  <c:v>364.17899999999997</c:v>
                </c:pt>
                <c:pt idx="9">
                  <c:v>362.87299999999999</c:v>
                </c:pt>
                <c:pt idx="10">
                  <c:v>375.06099999999998</c:v>
                </c:pt>
                <c:pt idx="11">
                  <c:v>383.83699999999999</c:v>
                </c:pt>
                <c:pt idx="12">
                  <c:v>382.08699999999999</c:v>
                </c:pt>
                <c:pt idx="13">
                  <c:v>393.262</c:v>
                </c:pt>
                <c:pt idx="14">
                  <c:v>407.536</c:v>
                </c:pt>
                <c:pt idx="15">
                  <c:v>423.24900000000002</c:v>
                </c:pt>
                <c:pt idx="16">
                  <c:v>435.30500000000001</c:v>
                </c:pt>
                <c:pt idx="17">
                  <c:v>440.01400000000001</c:v>
                </c:pt>
                <c:pt idx="18">
                  <c:v>452.68799999999999</c:v>
                </c:pt>
                <c:pt idx="19">
                  <c:v>470.38900000000001</c:v>
                </c:pt>
                <c:pt idx="20">
                  <c:v>448.33699999999999</c:v>
                </c:pt>
              </c:numCache>
            </c:numRef>
          </c:yVal>
          <c:smooth val="0"/>
          <c:extLst>
            <c:ext xmlns:c16="http://schemas.microsoft.com/office/drawing/2014/chart" uri="{C3380CC4-5D6E-409C-BE32-E72D297353CC}">
              <c16:uniqueId val="{00000000-10E8-481F-BCD0-5EF6A8EED4CE}"/>
            </c:ext>
          </c:extLst>
        </c:ser>
        <c:dLbls>
          <c:showLegendKey val="0"/>
          <c:showVal val="0"/>
          <c:showCatName val="0"/>
          <c:showSerName val="0"/>
          <c:showPercent val="0"/>
          <c:showBubbleSize val="0"/>
        </c:dLbls>
        <c:axId val="599179752"/>
        <c:axId val="609889704"/>
      </c:scatterChart>
      <c:valAx>
        <c:axId val="59917975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889704"/>
        <c:crosses val="autoZero"/>
        <c:crossBetween val="midCat"/>
      </c:valAx>
      <c:valAx>
        <c:axId val="609889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1797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pillar 3 vs gdp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8474816560338717"/>
                  <c:y val="4.2129629629629626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'Simple regressions'!$E$3:$E$23</c:f>
              <c:numCache>
                <c:formatCode>0.0</c:formatCode>
                <c:ptCount val="21"/>
                <c:pt idx="0">
                  <c:v>2.4855663159999999</c:v>
                </c:pt>
                <c:pt idx="1">
                  <c:v>3.4681846080000001</c:v>
                </c:pt>
                <c:pt idx="2">
                  <c:v>17.329999999999998</c:v>
                </c:pt>
                <c:pt idx="3">
                  <c:v>19.07</c:v>
                </c:pt>
                <c:pt idx="4">
                  <c:v>24.44</c:v>
                </c:pt>
                <c:pt idx="5">
                  <c:v>26.45</c:v>
                </c:pt>
                <c:pt idx="6">
                  <c:v>28.62</c:v>
                </c:pt>
                <c:pt idx="7">
                  <c:v>36.299999999999997</c:v>
                </c:pt>
                <c:pt idx="8">
                  <c:v>46.04</c:v>
                </c:pt>
                <c:pt idx="9">
                  <c:v>51.77</c:v>
                </c:pt>
                <c:pt idx="10">
                  <c:v>51.9</c:v>
                </c:pt>
                <c:pt idx="11">
                  <c:v>56.7</c:v>
                </c:pt>
                <c:pt idx="12">
                  <c:v>57.449947309999999</c:v>
                </c:pt>
                <c:pt idx="13">
                  <c:v>65.239999999999995</c:v>
                </c:pt>
                <c:pt idx="14">
                  <c:v>68.06</c:v>
                </c:pt>
                <c:pt idx="15">
                  <c:v>70.380203080000001</c:v>
                </c:pt>
                <c:pt idx="16">
                  <c:v>72.15681447</c:v>
                </c:pt>
                <c:pt idx="17">
                  <c:v>74.51682418</c:v>
                </c:pt>
                <c:pt idx="18">
                  <c:v>79.167755189999994</c:v>
                </c:pt>
                <c:pt idx="19">
                  <c:v>81.412882760000002</c:v>
                </c:pt>
                <c:pt idx="20">
                  <c:v>81.405538109999995</c:v>
                </c:pt>
              </c:numCache>
            </c:numRef>
          </c:xVal>
          <c:yVal>
            <c:numRef>
              <c:f>'Simple regressions'!$N$3:$N$23</c:f>
              <c:numCache>
                <c:formatCode>0.0</c:formatCode>
                <c:ptCount val="21"/>
                <c:pt idx="0">
                  <c:v>279.79399999999998</c:v>
                </c:pt>
                <c:pt idx="1">
                  <c:v>271.21199999999999</c:v>
                </c:pt>
                <c:pt idx="2">
                  <c:v>275.26299999999998</c:v>
                </c:pt>
                <c:pt idx="3">
                  <c:v>281.38099999999997</c:v>
                </c:pt>
                <c:pt idx="4">
                  <c:v>294.53399999999999</c:v>
                </c:pt>
                <c:pt idx="5">
                  <c:v>308.447</c:v>
                </c:pt>
                <c:pt idx="6">
                  <c:v>324.29199999999997</c:v>
                </c:pt>
                <c:pt idx="7">
                  <c:v>345.28500000000003</c:v>
                </c:pt>
                <c:pt idx="8">
                  <c:v>364.17899999999997</c:v>
                </c:pt>
                <c:pt idx="9">
                  <c:v>362.87299999999999</c:v>
                </c:pt>
                <c:pt idx="10">
                  <c:v>375.06099999999998</c:v>
                </c:pt>
                <c:pt idx="11">
                  <c:v>383.83699999999999</c:v>
                </c:pt>
                <c:pt idx="12">
                  <c:v>382.08699999999999</c:v>
                </c:pt>
                <c:pt idx="13">
                  <c:v>393.262</c:v>
                </c:pt>
                <c:pt idx="14">
                  <c:v>407.536</c:v>
                </c:pt>
                <c:pt idx="15">
                  <c:v>423.24900000000002</c:v>
                </c:pt>
                <c:pt idx="16">
                  <c:v>435.30500000000001</c:v>
                </c:pt>
                <c:pt idx="17">
                  <c:v>440.01400000000001</c:v>
                </c:pt>
                <c:pt idx="18">
                  <c:v>452.68799999999999</c:v>
                </c:pt>
                <c:pt idx="19">
                  <c:v>470.38900000000001</c:v>
                </c:pt>
                <c:pt idx="20">
                  <c:v>448.33699999999999</c:v>
                </c:pt>
              </c:numCache>
            </c:numRef>
          </c:yVal>
          <c:smooth val="0"/>
          <c:extLst>
            <c:ext xmlns:c16="http://schemas.microsoft.com/office/drawing/2014/chart" uri="{C3380CC4-5D6E-409C-BE32-E72D297353CC}">
              <c16:uniqueId val="{00000000-49F6-4D19-9BAA-B12B26C781E6}"/>
            </c:ext>
          </c:extLst>
        </c:ser>
        <c:dLbls>
          <c:showLegendKey val="0"/>
          <c:showVal val="0"/>
          <c:showCatName val="0"/>
          <c:showSerName val="0"/>
          <c:showPercent val="0"/>
          <c:showBubbleSize val="0"/>
        </c:dLbls>
        <c:axId val="599179752"/>
        <c:axId val="609889704"/>
      </c:scatterChart>
      <c:valAx>
        <c:axId val="59917975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889704"/>
        <c:crosses val="autoZero"/>
        <c:crossBetween val="midCat"/>
      </c:valAx>
      <c:valAx>
        <c:axId val="609889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1797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Output Gap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'Production Function'!$A$2:$A$105</c:f>
              <c:strCache>
                <c:ptCount val="104"/>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pt idx="96">
                  <c:v>2024Q1</c:v>
                </c:pt>
                <c:pt idx="97">
                  <c:v>2024Q2</c:v>
                </c:pt>
                <c:pt idx="98">
                  <c:v>2024Q3</c:v>
                </c:pt>
                <c:pt idx="99">
                  <c:v>2024Q4</c:v>
                </c:pt>
                <c:pt idx="100">
                  <c:v>2025Q1</c:v>
                </c:pt>
                <c:pt idx="101">
                  <c:v>2025Q2</c:v>
                </c:pt>
                <c:pt idx="102">
                  <c:v>2025Q3</c:v>
                </c:pt>
                <c:pt idx="103">
                  <c:v>2025Q4</c:v>
                </c:pt>
              </c:strCache>
            </c:strRef>
          </c:cat>
          <c:val>
            <c:numRef>
              <c:f>'Production Function'!$T$2:$T$105</c:f>
              <c:numCache>
                <c:formatCode>0.000</c:formatCode>
                <c:ptCount val="104"/>
                <c:pt idx="0">
                  <c:v>2.2276079942689764</c:v>
                </c:pt>
                <c:pt idx="1">
                  <c:v>2.64656741762892</c:v>
                </c:pt>
                <c:pt idx="2">
                  <c:v>4.7684447572351685</c:v>
                </c:pt>
                <c:pt idx="3">
                  <c:v>3.6174512785295265</c:v>
                </c:pt>
                <c:pt idx="4">
                  <c:v>6.1825440604717619</c:v>
                </c:pt>
                <c:pt idx="5">
                  <c:v>-3.7209128953216042</c:v>
                </c:pt>
                <c:pt idx="6">
                  <c:v>-5.3028988920633902</c:v>
                </c:pt>
                <c:pt idx="7">
                  <c:v>-2.6390252416897408</c:v>
                </c:pt>
                <c:pt idx="8">
                  <c:v>-2.6011901666637915</c:v>
                </c:pt>
                <c:pt idx="9">
                  <c:v>-1.9651122187501313</c:v>
                </c:pt>
                <c:pt idx="10">
                  <c:v>-1.4795129042740496</c:v>
                </c:pt>
                <c:pt idx="11">
                  <c:v>-1.9246687651946259</c:v>
                </c:pt>
                <c:pt idx="12">
                  <c:v>-2.689570046770895</c:v>
                </c:pt>
                <c:pt idx="13">
                  <c:v>-3.091009287247326</c:v>
                </c:pt>
                <c:pt idx="14">
                  <c:v>-2.5609988683515383</c:v>
                </c:pt>
                <c:pt idx="15">
                  <c:v>-1.559758254470256</c:v>
                </c:pt>
                <c:pt idx="16">
                  <c:v>-2.2297167348302227</c:v>
                </c:pt>
                <c:pt idx="17">
                  <c:v>-1.6040412419362715</c:v>
                </c:pt>
                <c:pt idx="18">
                  <c:v>0.41669506347359331</c:v>
                </c:pt>
                <c:pt idx="19">
                  <c:v>0.9188741955212798</c:v>
                </c:pt>
                <c:pt idx="20">
                  <c:v>0.14306131098760222</c:v>
                </c:pt>
                <c:pt idx="21">
                  <c:v>0.70653283957333723</c:v>
                </c:pt>
                <c:pt idx="22">
                  <c:v>-0.57282263606697192</c:v>
                </c:pt>
                <c:pt idx="23">
                  <c:v>-0.40291744436039556</c:v>
                </c:pt>
                <c:pt idx="24">
                  <c:v>1.5450055157566256</c:v>
                </c:pt>
                <c:pt idx="25">
                  <c:v>-0.33109727753273255</c:v>
                </c:pt>
                <c:pt idx="26">
                  <c:v>-0.73749743185613781</c:v>
                </c:pt>
                <c:pt idx="27">
                  <c:v>-0.90359863097676518</c:v>
                </c:pt>
                <c:pt idx="28">
                  <c:v>-0.29548839942811211</c:v>
                </c:pt>
                <c:pt idx="29">
                  <c:v>1.3489309744838529</c:v>
                </c:pt>
                <c:pt idx="30">
                  <c:v>3.1736490877242396</c:v>
                </c:pt>
                <c:pt idx="31">
                  <c:v>3.6839507094488466</c:v>
                </c:pt>
                <c:pt idx="32">
                  <c:v>3.4431760607191775</c:v>
                </c:pt>
                <c:pt idx="33">
                  <c:v>4.0125200610062528</c:v>
                </c:pt>
                <c:pt idx="34">
                  <c:v>2.9544802693176386</c:v>
                </c:pt>
                <c:pt idx="35">
                  <c:v>1.1508947753611887</c:v>
                </c:pt>
                <c:pt idx="36">
                  <c:v>-0.39089039067994324</c:v>
                </c:pt>
                <c:pt idx="37">
                  <c:v>-0.91782340354682468</c:v>
                </c:pt>
                <c:pt idx="38">
                  <c:v>-2.1924324772816473</c:v>
                </c:pt>
                <c:pt idx="39">
                  <c:v>0.19458890347066049</c:v>
                </c:pt>
                <c:pt idx="40">
                  <c:v>0.86259990888548632</c:v>
                </c:pt>
                <c:pt idx="41">
                  <c:v>-0.38233251860381179</c:v>
                </c:pt>
                <c:pt idx="42">
                  <c:v>1.9920780285872519</c:v>
                </c:pt>
                <c:pt idx="43">
                  <c:v>-0.43202829767478024</c:v>
                </c:pt>
                <c:pt idx="44">
                  <c:v>0.45836948968795976</c:v>
                </c:pt>
                <c:pt idx="45">
                  <c:v>1.0806018523243699</c:v>
                </c:pt>
                <c:pt idx="46">
                  <c:v>-0.4165883066265641</c:v>
                </c:pt>
                <c:pt idx="47">
                  <c:v>0.46871675203636887</c:v>
                </c:pt>
                <c:pt idx="48">
                  <c:v>-1.6080228107175909</c:v>
                </c:pt>
                <c:pt idx="49">
                  <c:v>-1.5483209875178594</c:v>
                </c:pt>
                <c:pt idx="50">
                  <c:v>-2.2271408031104944</c:v>
                </c:pt>
                <c:pt idx="51">
                  <c:v>-1.8921739983631003</c:v>
                </c:pt>
                <c:pt idx="52">
                  <c:v>-1.022967551578613</c:v>
                </c:pt>
                <c:pt idx="53">
                  <c:v>-1.29567986226371</c:v>
                </c:pt>
                <c:pt idx="54">
                  <c:v>-0.4284317893561318</c:v>
                </c:pt>
                <c:pt idx="55">
                  <c:v>-1.4175302236288156</c:v>
                </c:pt>
                <c:pt idx="56">
                  <c:v>-0.54098510349792628</c:v>
                </c:pt>
                <c:pt idx="57">
                  <c:v>-5.8254661950929432E-2</c:v>
                </c:pt>
                <c:pt idx="58">
                  <c:v>-1.0196229542057234</c:v>
                </c:pt>
                <c:pt idx="59">
                  <c:v>-0.26528492075102994</c:v>
                </c:pt>
                <c:pt idx="60">
                  <c:v>0.48661903379405569</c:v>
                </c:pt>
                <c:pt idx="61">
                  <c:v>0.26090196275658784</c:v>
                </c:pt>
                <c:pt idx="62">
                  <c:v>0.97064704137050928</c:v>
                </c:pt>
                <c:pt idx="63">
                  <c:v>1.1075471314988983</c:v>
                </c:pt>
                <c:pt idx="64">
                  <c:v>0.39919303134783313</c:v>
                </c:pt>
                <c:pt idx="65">
                  <c:v>1.0263571928203152</c:v>
                </c:pt>
                <c:pt idx="66">
                  <c:v>0.85928025668327024</c:v>
                </c:pt>
                <c:pt idx="67">
                  <c:v>0.82705883607310238</c:v>
                </c:pt>
                <c:pt idx="68">
                  <c:v>0.34241176245175531</c:v>
                </c:pt>
                <c:pt idx="69">
                  <c:v>-0.75137962157703075</c:v>
                </c:pt>
                <c:pt idx="70">
                  <c:v>-0.65766385139341965</c:v>
                </c:pt>
                <c:pt idx="71">
                  <c:v>-0.97924313524128115</c:v>
                </c:pt>
                <c:pt idx="72">
                  <c:v>-0.46888218573412077</c:v>
                </c:pt>
                <c:pt idx="73">
                  <c:v>-8.969710418833543E-2</c:v>
                </c:pt>
                <c:pt idx="74">
                  <c:v>0.76908909419526328</c:v>
                </c:pt>
                <c:pt idx="75">
                  <c:v>1.7514401494406417</c:v>
                </c:pt>
                <c:pt idx="76">
                  <c:v>2.120105974086206</c:v>
                </c:pt>
                <c:pt idx="77">
                  <c:v>3.200995929247874</c:v>
                </c:pt>
                <c:pt idx="78">
                  <c:v>3.0558568153232546</c:v>
                </c:pt>
                <c:pt idx="79">
                  <c:v>1.1660330417588849</c:v>
                </c:pt>
                <c:pt idx="80">
                  <c:v>0.57710938726864836</c:v>
                </c:pt>
                <c:pt idx="81">
                  <c:v>-12.897802516549961</c:v>
                </c:pt>
                <c:pt idx="82">
                  <c:v>-0.80834657779609298</c:v>
                </c:pt>
                <c:pt idx="83">
                  <c:v>-0.16805739441447809</c:v>
                </c:pt>
                <c:pt idx="84">
                  <c:v>-0.5061189862662907</c:v>
                </c:pt>
                <c:pt idx="85">
                  <c:v>-0.73314415930333388</c:v>
                </c:pt>
                <c:pt idx="86">
                  <c:v>-5.6359317336673875E-2</c:v>
                </c:pt>
                <c:pt idx="87">
                  <c:v>-0.12788241309394932</c:v>
                </c:pt>
                <c:pt idx="88">
                  <c:v>-0.43211246305241424</c:v>
                </c:pt>
                <c:pt idx="89">
                  <c:v>-0.2725309787787733</c:v>
                </c:pt>
                <c:pt idx="90">
                  <c:v>-0.62917862519563661</c:v>
                </c:pt>
                <c:pt idx="91">
                  <c:v>-0.8153088451036461</c:v>
                </c:pt>
                <c:pt idx="92" formatCode="0.00">
                  <c:v>-0.67047236550200617</c:v>
                </c:pt>
                <c:pt idx="93" formatCode="0.00">
                  <c:v>-0.71423648985117216</c:v>
                </c:pt>
                <c:pt idx="94" formatCode="0.00">
                  <c:v>-0.58481629691988779</c:v>
                </c:pt>
                <c:pt idx="95" formatCode="0.00">
                  <c:v>-0.4029375006507574</c:v>
                </c:pt>
                <c:pt idx="96" formatCode="0.00">
                  <c:v>-0.24033571309213242</c:v>
                </c:pt>
                <c:pt idx="97" formatCode="0.00">
                  <c:v>-0.11674811168258525</c:v>
                </c:pt>
                <c:pt idx="98" formatCode="0.00">
                  <c:v>0.15209142547998322</c:v>
                </c:pt>
                <c:pt idx="99" formatCode="0.00">
                  <c:v>0.38401373459264754</c:v>
                </c:pt>
                <c:pt idx="100" formatCode="0.00">
                  <c:v>0.89828558284306137</c:v>
                </c:pt>
                <c:pt idx="101" formatCode="0.00">
                  <c:v>1.004768797221578</c:v>
                </c:pt>
                <c:pt idx="102" formatCode="0.00">
                  <c:v>1.1186467166669045</c:v>
                </c:pt>
                <c:pt idx="103" formatCode="0.00">
                  <c:v>1.077837708697893</c:v>
                </c:pt>
              </c:numCache>
            </c:numRef>
          </c:val>
          <c:smooth val="0"/>
          <c:extLst>
            <c:ext xmlns:c16="http://schemas.microsoft.com/office/drawing/2014/chart" uri="{C3380CC4-5D6E-409C-BE32-E72D297353CC}">
              <c16:uniqueId val="{00000000-0DB5-41B0-BE95-FB722467588F}"/>
            </c:ext>
          </c:extLst>
        </c:ser>
        <c:ser>
          <c:idx val="1"/>
          <c:order val="1"/>
          <c:spPr>
            <a:ln w="28575" cap="rnd">
              <a:solidFill>
                <a:schemeClr val="accent2"/>
              </a:solidFill>
              <a:round/>
            </a:ln>
            <a:effectLst/>
          </c:spPr>
          <c:marker>
            <c:symbol val="none"/>
          </c:marker>
          <c:cat>
            <c:strRef>
              <c:f>'Production Function'!$A$2:$A$105</c:f>
              <c:strCache>
                <c:ptCount val="104"/>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pt idx="96">
                  <c:v>2024Q1</c:v>
                </c:pt>
                <c:pt idx="97">
                  <c:v>2024Q2</c:v>
                </c:pt>
                <c:pt idx="98">
                  <c:v>2024Q3</c:v>
                </c:pt>
                <c:pt idx="99">
                  <c:v>2024Q4</c:v>
                </c:pt>
                <c:pt idx="100">
                  <c:v>2025Q1</c:v>
                </c:pt>
                <c:pt idx="101">
                  <c:v>2025Q2</c:v>
                </c:pt>
                <c:pt idx="102">
                  <c:v>2025Q3</c:v>
                </c:pt>
                <c:pt idx="103">
                  <c:v>2025Q4</c:v>
                </c:pt>
              </c:strCache>
            </c:strRef>
          </c:cat>
          <c:val>
            <c:numRef>
              <c:f>'Production Function'!$U$2:$U$105</c:f>
              <c:numCache>
                <c:formatCode>0.000</c:formatCode>
                <c:ptCount val="104"/>
                <c:pt idx="0">
                  <c:v>2.9178825569624589</c:v>
                </c:pt>
                <c:pt idx="1">
                  <c:v>3.2578461613300469</c:v>
                </c:pt>
                <c:pt idx="2">
                  <c:v>5.7364407653058835</c:v>
                </c:pt>
                <c:pt idx="3">
                  <c:v>4.0211964588281246</c:v>
                </c:pt>
                <c:pt idx="4">
                  <c:v>6.8940849228297241</c:v>
                </c:pt>
                <c:pt idx="5">
                  <c:v>-3.263440977578369</c:v>
                </c:pt>
                <c:pt idx="6">
                  <c:v>-5.5029250263744833</c:v>
                </c:pt>
                <c:pt idx="7">
                  <c:v>-2.8853839952533766</c:v>
                </c:pt>
                <c:pt idx="8">
                  <c:v>-2.6960731340870181</c:v>
                </c:pt>
                <c:pt idx="9">
                  <c:v>-2.0373982764704701</c:v>
                </c:pt>
                <c:pt idx="10">
                  <c:v>-1.6121838231754726</c:v>
                </c:pt>
                <c:pt idx="11">
                  <c:v>-1.9021384138725117</c:v>
                </c:pt>
                <c:pt idx="12">
                  <c:v>-2.4412587395936991</c:v>
                </c:pt>
                <c:pt idx="13">
                  <c:v>-2.9665548227793326</c:v>
                </c:pt>
                <c:pt idx="14">
                  <c:v>-2.4266869473450581</c:v>
                </c:pt>
                <c:pt idx="15">
                  <c:v>-1.8559766910205555</c:v>
                </c:pt>
                <c:pt idx="16">
                  <c:v>-2.9028154243286974</c:v>
                </c:pt>
                <c:pt idx="17">
                  <c:v>-2.1370481138559327</c:v>
                </c:pt>
                <c:pt idx="18">
                  <c:v>2.7935748902829793E-2</c:v>
                </c:pt>
                <c:pt idx="19">
                  <c:v>1.1381853573045442</c:v>
                </c:pt>
                <c:pt idx="20">
                  <c:v>-8.6839669501737049E-3</c:v>
                </c:pt>
                <c:pt idx="21">
                  <c:v>1.2384019989015949</c:v>
                </c:pt>
                <c:pt idx="22">
                  <c:v>-0.53314369481313184</c:v>
                </c:pt>
                <c:pt idx="23">
                  <c:v>-0.7098961634478318</c:v>
                </c:pt>
                <c:pt idx="24">
                  <c:v>1.0882364232913444</c:v>
                </c:pt>
                <c:pt idx="25">
                  <c:v>-0.6294988480694097</c:v>
                </c:pt>
                <c:pt idx="26">
                  <c:v>-1.0946635213383349</c:v>
                </c:pt>
                <c:pt idx="27">
                  <c:v>-1.4776959021979841</c:v>
                </c:pt>
                <c:pt idx="28">
                  <c:v>-1.1024811753441388</c:v>
                </c:pt>
                <c:pt idx="29">
                  <c:v>-8.0169111665417958E-2</c:v>
                </c:pt>
                <c:pt idx="30">
                  <c:v>2.2820331201879318</c:v>
                </c:pt>
                <c:pt idx="31">
                  <c:v>3.2267523435898893</c:v>
                </c:pt>
                <c:pt idx="32">
                  <c:v>3.0761658134764058</c:v>
                </c:pt>
                <c:pt idx="33">
                  <c:v>4.0768251907287834</c:v>
                </c:pt>
                <c:pt idx="34">
                  <c:v>3.3317281928512799</c:v>
                </c:pt>
                <c:pt idx="35">
                  <c:v>1.6284332760400311</c:v>
                </c:pt>
                <c:pt idx="36">
                  <c:v>0.61068680786557916</c:v>
                </c:pt>
                <c:pt idx="37">
                  <c:v>0.11475510428904379</c:v>
                </c:pt>
                <c:pt idx="38">
                  <c:v>-1.6728403017208793</c:v>
                </c:pt>
                <c:pt idx="39">
                  <c:v>0.73770545330349435</c:v>
                </c:pt>
                <c:pt idx="40">
                  <c:v>1.006556529140501</c:v>
                </c:pt>
                <c:pt idx="41">
                  <c:v>-0.43686477387993028</c:v>
                </c:pt>
                <c:pt idx="42">
                  <c:v>1.9629615909113829</c:v>
                </c:pt>
                <c:pt idx="43">
                  <c:v>-0.57308773856880046</c:v>
                </c:pt>
                <c:pt idx="44">
                  <c:v>0.60748693272405507</c:v>
                </c:pt>
                <c:pt idx="45">
                  <c:v>0.96664839962317117</c:v>
                </c:pt>
                <c:pt idx="46">
                  <c:v>-0.42629509533808063</c:v>
                </c:pt>
                <c:pt idx="47">
                  <c:v>0.3716737013087057</c:v>
                </c:pt>
                <c:pt idx="48">
                  <c:v>-1.5736450027838078</c:v>
                </c:pt>
                <c:pt idx="49">
                  <c:v>-1.4610923230301998</c:v>
                </c:pt>
                <c:pt idx="50">
                  <c:v>-2.0550536392444529</c:v>
                </c:pt>
                <c:pt idx="51">
                  <c:v>-1.7872332812884695</c:v>
                </c:pt>
                <c:pt idx="52">
                  <c:v>-1.3748340915432755</c:v>
                </c:pt>
                <c:pt idx="53">
                  <c:v>-1.5579849161054038</c:v>
                </c:pt>
                <c:pt idx="54">
                  <c:v>-0.5972551665840653</c:v>
                </c:pt>
                <c:pt idx="55">
                  <c:v>-1.6347695106212479</c:v>
                </c:pt>
                <c:pt idx="56">
                  <c:v>-0.7562753556062507</c:v>
                </c:pt>
                <c:pt idx="57">
                  <c:v>-9.751578581033149E-2</c:v>
                </c:pt>
                <c:pt idx="58">
                  <c:v>-0.9597536311552135</c:v>
                </c:pt>
                <c:pt idx="59">
                  <c:v>-0.55407484405174401</c:v>
                </c:pt>
                <c:pt idx="60">
                  <c:v>0.17351437270571868</c:v>
                </c:pt>
                <c:pt idx="61">
                  <c:v>-0.1776036693858507</c:v>
                </c:pt>
                <c:pt idx="62">
                  <c:v>0.56186597652374548</c:v>
                </c:pt>
                <c:pt idx="63">
                  <c:v>0.93905202316968417</c:v>
                </c:pt>
                <c:pt idx="64">
                  <c:v>0.26144770849101384</c:v>
                </c:pt>
                <c:pt idx="65">
                  <c:v>1.2247669820939722</c:v>
                </c:pt>
                <c:pt idx="66">
                  <c:v>1.2771695386605941</c:v>
                </c:pt>
                <c:pt idx="67">
                  <c:v>1.3008744131472572</c:v>
                </c:pt>
                <c:pt idx="68">
                  <c:v>1.1131798014397898</c:v>
                </c:pt>
                <c:pt idx="69">
                  <c:v>-5.8570161904880624E-2</c:v>
                </c:pt>
                <c:pt idx="70">
                  <c:v>-8.6054953262504341E-2</c:v>
                </c:pt>
                <c:pt idx="71">
                  <c:v>-0.48992918731783908</c:v>
                </c:pt>
                <c:pt idx="72">
                  <c:v>0.14301446265216899</c:v>
                </c:pt>
                <c:pt idx="73">
                  <c:v>0.30545690417387306</c:v>
                </c:pt>
                <c:pt idx="74">
                  <c:v>1.0398394307766345</c:v>
                </c:pt>
                <c:pt idx="75">
                  <c:v>2.2559395622822498</c:v>
                </c:pt>
                <c:pt idx="76">
                  <c:v>2.6933933475778993</c:v>
                </c:pt>
                <c:pt idx="77">
                  <c:v>3.7518361629551356</c:v>
                </c:pt>
                <c:pt idx="78">
                  <c:v>3.7700432013677343</c:v>
                </c:pt>
                <c:pt idx="79">
                  <c:v>2.1675004662303099</c:v>
                </c:pt>
                <c:pt idx="80">
                  <c:v>1.4607104631515933</c:v>
                </c:pt>
                <c:pt idx="81">
                  <c:v>-12.785300245517362</c:v>
                </c:pt>
                <c:pt idx="82">
                  <c:v>-0.5438880824308101</c:v>
                </c:pt>
                <c:pt idx="83">
                  <c:v>6.6420789464283203E-2</c:v>
                </c:pt>
                <c:pt idx="84">
                  <c:v>-0.63217565440837342</c:v>
                </c:pt>
                <c:pt idx="85">
                  <c:v>-1.2299192152170679</c:v>
                </c:pt>
                <c:pt idx="86">
                  <c:v>-0.63015826545007592</c:v>
                </c:pt>
                <c:pt idx="87">
                  <c:v>-0.52593247794029407</c:v>
                </c:pt>
                <c:pt idx="88">
                  <c:v>-0.77547559024191415</c:v>
                </c:pt>
                <c:pt idx="89">
                  <c:v>-0.51636988626645453</c:v>
                </c:pt>
                <c:pt idx="90">
                  <c:v>-0.89314276493173139</c:v>
                </c:pt>
                <c:pt idx="91">
                  <c:v>-1.1370900648571158</c:v>
                </c:pt>
                <c:pt idx="92">
                  <c:v>-0.95709672688043534</c:v>
                </c:pt>
                <c:pt idx="93">
                  <c:v>-0.92707926962465326</c:v>
                </c:pt>
                <c:pt idx="94">
                  <c:v>-0.82510872100627353</c:v>
                </c:pt>
                <c:pt idx="95">
                  <c:v>-0.68037156349803896</c:v>
                </c:pt>
                <c:pt idx="96">
                  <c:v>-0.43805784949888515</c:v>
                </c:pt>
                <c:pt idx="97">
                  <c:v>-0.2004409646920613</c:v>
                </c:pt>
                <c:pt idx="98">
                  <c:v>8.7819133521338522E-2</c:v>
                </c:pt>
                <c:pt idx="99">
                  <c:v>0.37100333533348628</c:v>
                </c:pt>
                <c:pt idx="100">
                  <c:v>1.0385353675555598</c:v>
                </c:pt>
                <c:pt idx="101">
                  <c:v>1.3290885987332635</c:v>
                </c:pt>
                <c:pt idx="102">
                  <c:v>1.5270729876604605</c:v>
                </c:pt>
                <c:pt idx="103">
                  <c:v>1.6463635934027998</c:v>
                </c:pt>
              </c:numCache>
            </c:numRef>
          </c:val>
          <c:smooth val="0"/>
          <c:extLst>
            <c:ext xmlns:c16="http://schemas.microsoft.com/office/drawing/2014/chart" uri="{C3380CC4-5D6E-409C-BE32-E72D297353CC}">
              <c16:uniqueId val="{00000001-0DB5-41B0-BE95-FB722467588F}"/>
            </c:ext>
          </c:extLst>
        </c:ser>
        <c:dLbls>
          <c:showLegendKey val="0"/>
          <c:showVal val="0"/>
          <c:showCatName val="0"/>
          <c:showSerName val="0"/>
          <c:showPercent val="0"/>
          <c:showBubbleSize val="0"/>
        </c:dLbls>
        <c:smooth val="0"/>
        <c:axId val="2050977391"/>
        <c:axId val="2038695327"/>
      </c:lineChart>
      <c:catAx>
        <c:axId val="2050977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8695327"/>
        <c:crosses val="autoZero"/>
        <c:auto val="1"/>
        <c:lblAlgn val="ctr"/>
        <c:lblOffset val="100"/>
        <c:noMultiLvlLbl val="0"/>
      </c:catAx>
      <c:valAx>
        <c:axId val="2038695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09773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Baseline Potential GDP</c:v>
          </c:tx>
          <c:spPr>
            <a:ln w="28575" cap="rnd">
              <a:solidFill>
                <a:schemeClr val="accent1"/>
              </a:solidFill>
              <a:round/>
            </a:ln>
            <a:effectLst/>
          </c:spPr>
          <c:marker>
            <c:symbol val="none"/>
          </c:marker>
          <c:cat>
            <c:strRef>
              <c:f>'Production Function'!$A$86:$A$105</c:f>
              <c:strCache>
                <c:ptCount val="20"/>
                <c:pt idx="0">
                  <c:v>2021Q1</c:v>
                </c:pt>
                <c:pt idx="1">
                  <c:v>2021Q2</c:v>
                </c:pt>
                <c:pt idx="2">
                  <c:v>2021Q3</c:v>
                </c:pt>
                <c:pt idx="3">
                  <c:v>2021Q4</c:v>
                </c:pt>
                <c:pt idx="4">
                  <c:v>2022Q1</c:v>
                </c:pt>
                <c:pt idx="5">
                  <c:v>2022Q2</c:v>
                </c:pt>
                <c:pt idx="6">
                  <c:v>2022Q3</c:v>
                </c:pt>
                <c:pt idx="7">
                  <c:v>2022Q4</c:v>
                </c:pt>
                <c:pt idx="8">
                  <c:v>2023Q1</c:v>
                </c:pt>
                <c:pt idx="9">
                  <c:v>2023Q2</c:v>
                </c:pt>
                <c:pt idx="10">
                  <c:v>2023Q3</c:v>
                </c:pt>
                <c:pt idx="11">
                  <c:v>2023Q4</c:v>
                </c:pt>
                <c:pt idx="12">
                  <c:v>2024Q1</c:v>
                </c:pt>
                <c:pt idx="13">
                  <c:v>2024Q2</c:v>
                </c:pt>
                <c:pt idx="14">
                  <c:v>2024Q3</c:v>
                </c:pt>
                <c:pt idx="15">
                  <c:v>2024Q4</c:v>
                </c:pt>
                <c:pt idx="16">
                  <c:v>2025Q1</c:v>
                </c:pt>
                <c:pt idx="17">
                  <c:v>2025Q2</c:v>
                </c:pt>
                <c:pt idx="18">
                  <c:v>2025Q3</c:v>
                </c:pt>
                <c:pt idx="19">
                  <c:v>2025Q4</c:v>
                </c:pt>
              </c:strCache>
            </c:strRef>
          </c:cat>
          <c:val>
            <c:numRef>
              <c:f>'Production Function'!$R$86:$R$105</c:f>
              <c:numCache>
                <c:formatCode>_(* #,##0.0_);_(* \(#,##0.0\);_(* "-"??_);_(@_)</c:formatCode>
                <c:ptCount val="20"/>
                <c:pt idx="0">
                  <c:v>116473.7959955586</c:v>
                </c:pt>
                <c:pt idx="1">
                  <c:v>116589.33792134075</c:v>
                </c:pt>
                <c:pt idx="2">
                  <c:v>117094.58370801606</c:v>
                </c:pt>
                <c:pt idx="3">
                  <c:v>117936.1395812063</c:v>
                </c:pt>
                <c:pt idx="4">
                  <c:v>118678.12296022782</c:v>
                </c:pt>
                <c:pt idx="5">
                  <c:v>119520.67085412169</c:v>
                </c:pt>
                <c:pt idx="6">
                  <c:v>120262.30471543717</c:v>
                </c:pt>
                <c:pt idx="7">
                  <c:v>121001.65721398764</c:v>
                </c:pt>
                <c:pt idx="8" formatCode="0.00">
                  <c:v>121898.53599781689</c:v>
                </c:pt>
                <c:pt idx="9" formatCode="0.00">
                  <c:v>122884.21389591137</c:v>
                </c:pt>
                <c:pt idx="10" formatCode="0.00">
                  <c:v>123783.74752848475</c:v>
                </c:pt>
                <c:pt idx="11" formatCode="0.00">
                  <c:v>124706.04743067751</c:v>
                </c:pt>
                <c:pt idx="12" formatCode="0.00">
                  <c:v>125806.6483053219</c:v>
                </c:pt>
                <c:pt idx="13" formatCode="0.00">
                  <c:v>126979.02561463804</c:v>
                </c:pt>
                <c:pt idx="14" formatCode="0.00">
                  <c:v>128054.44017654509</c:v>
                </c:pt>
                <c:pt idx="15" formatCode="0.00">
                  <c:v>129188.27926414179</c:v>
                </c:pt>
                <c:pt idx="16" formatCode="0.00">
                  <c:v>130466.79558486385</c:v>
                </c:pt>
                <c:pt idx="17" formatCode="0.00">
                  <c:v>131795.94546397481</c:v>
                </c:pt>
                <c:pt idx="18" formatCode="0.00">
                  <c:v>133001.58216796303</c:v>
                </c:pt>
                <c:pt idx="19" formatCode="0.00">
                  <c:v>134311.56925937854</c:v>
                </c:pt>
              </c:numCache>
            </c:numRef>
          </c:val>
          <c:smooth val="0"/>
          <c:extLst>
            <c:ext xmlns:c16="http://schemas.microsoft.com/office/drawing/2014/chart" uri="{C3380CC4-5D6E-409C-BE32-E72D297353CC}">
              <c16:uniqueId val="{00000001-2F23-49EF-A921-099A20E0D420}"/>
            </c:ext>
          </c:extLst>
        </c:ser>
        <c:dLbls>
          <c:showLegendKey val="0"/>
          <c:showVal val="0"/>
          <c:showCatName val="0"/>
          <c:showSerName val="0"/>
          <c:showPercent val="0"/>
          <c:showBubbleSize val="0"/>
        </c:dLbls>
        <c:smooth val="0"/>
        <c:axId val="1535484192"/>
        <c:axId val="1535487936"/>
      </c:lineChart>
      <c:catAx>
        <c:axId val="153548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5487936"/>
        <c:crosses val="autoZero"/>
        <c:auto val="1"/>
        <c:lblAlgn val="ctr"/>
        <c:lblOffset val="100"/>
        <c:noMultiLvlLbl val="0"/>
      </c:catAx>
      <c:valAx>
        <c:axId val="1535487936"/>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5484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TFP</a:t>
            </a:r>
            <a:r>
              <a:rPr lang="en-US" baseline="0"/>
              <a:t> Shock</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Baseline Potential GDP</c:v>
          </c:tx>
          <c:spPr>
            <a:ln w="28575" cap="rnd">
              <a:solidFill>
                <a:schemeClr val="accent1"/>
              </a:solidFill>
              <a:round/>
            </a:ln>
            <a:effectLst/>
          </c:spPr>
          <c:marker>
            <c:symbol val="none"/>
          </c:marker>
          <c:cat>
            <c:strRef>
              <c:f>'Production Function'!$A$86:$A$105</c:f>
              <c:strCache>
                <c:ptCount val="20"/>
                <c:pt idx="0">
                  <c:v>2021Q1</c:v>
                </c:pt>
                <c:pt idx="1">
                  <c:v>2021Q2</c:v>
                </c:pt>
                <c:pt idx="2">
                  <c:v>2021Q3</c:v>
                </c:pt>
                <c:pt idx="3">
                  <c:v>2021Q4</c:v>
                </c:pt>
                <c:pt idx="4">
                  <c:v>2022Q1</c:v>
                </c:pt>
                <c:pt idx="5">
                  <c:v>2022Q2</c:v>
                </c:pt>
                <c:pt idx="6">
                  <c:v>2022Q3</c:v>
                </c:pt>
                <c:pt idx="7">
                  <c:v>2022Q4</c:v>
                </c:pt>
                <c:pt idx="8">
                  <c:v>2023Q1</c:v>
                </c:pt>
                <c:pt idx="9">
                  <c:v>2023Q2</c:v>
                </c:pt>
                <c:pt idx="10">
                  <c:v>2023Q3</c:v>
                </c:pt>
                <c:pt idx="11">
                  <c:v>2023Q4</c:v>
                </c:pt>
                <c:pt idx="12">
                  <c:v>2024Q1</c:v>
                </c:pt>
                <c:pt idx="13">
                  <c:v>2024Q2</c:v>
                </c:pt>
                <c:pt idx="14">
                  <c:v>2024Q3</c:v>
                </c:pt>
                <c:pt idx="15">
                  <c:v>2024Q4</c:v>
                </c:pt>
                <c:pt idx="16">
                  <c:v>2025Q1</c:v>
                </c:pt>
                <c:pt idx="17">
                  <c:v>2025Q2</c:v>
                </c:pt>
                <c:pt idx="18">
                  <c:v>2025Q3</c:v>
                </c:pt>
                <c:pt idx="19">
                  <c:v>2025Q4</c:v>
                </c:pt>
              </c:strCache>
            </c:strRef>
          </c:cat>
          <c:val>
            <c:numRef>
              <c:f>'Production Function'!$R$86:$R$105</c:f>
              <c:numCache>
                <c:formatCode>_(* #,##0.0_);_(* \(#,##0.0\);_(* "-"??_);_(@_)</c:formatCode>
                <c:ptCount val="20"/>
                <c:pt idx="0">
                  <c:v>116473.7959955586</c:v>
                </c:pt>
                <c:pt idx="1">
                  <c:v>116589.33792134075</c:v>
                </c:pt>
                <c:pt idx="2">
                  <c:v>117094.58370801606</c:v>
                </c:pt>
                <c:pt idx="3">
                  <c:v>117936.1395812063</c:v>
                </c:pt>
                <c:pt idx="4">
                  <c:v>118678.12296022782</c:v>
                </c:pt>
                <c:pt idx="5">
                  <c:v>119520.67085412169</c:v>
                </c:pt>
                <c:pt idx="6">
                  <c:v>120262.30471543717</c:v>
                </c:pt>
                <c:pt idx="7">
                  <c:v>121001.65721398764</c:v>
                </c:pt>
                <c:pt idx="8" formatCode="0.00">
                  <c:v>121898.53599781689</c:v>
                </c:pt>
                <c:pt idx="9" formatCode="0.00">
                  <c:v>122884.21389591137</c:v>
                </c:pt>
                <c:pt idx="10" formatCode="0.00">
                  <c:v>123783.74752848475</c:v>
                </c:pt>
                <c:pt idx="11" formatCode="0.00">
                  <c:v>124706.04743067751</c:v>
                </c:pt>
                <c:pt idx="12" formatCode="0.00">
                  <c:v>125806.6483053219</c:v>
                </c:pt>
                <c:pt idx="13" formatCode="0.00">
                  <c:v>126979.02561463804</c:v>
                </c:pt>
                <c:pt idx="14" formatCode="0.00">
                  <c:v>128054.44017654509</c:v>
                </c:pt>
                <c:pt idx="15" formatCode="0.00">
                  <c:v>129188.27926414179</c:v>
                </c:pt>
                <c:pt idx="16" formatCode="0.00">
                  <c:v>130466.79558486385</c:v>
                </c:pt>
                <c:pt idx="17" formatCode="0.00">
                  <c:v>131795.94546397481</c:v>
                </c:pt>
                <c:pt idx="18" formatCode="0.00">
                  <c:v>133001.58216796303</c:v>
                </c:pt>
                <c:pt idx="19" formatCode="0.00">
                  <c:v>134311.56925937854</c:v>
                </c:pt>
              </c:numCache>
            </c:numRef>
          </c:val>
          <c:smooth val="0"/>
          <c:extLst>
            <c:ext xmlns:c16="http://schemas.microsoft.com/office/drawing/2014/chart" uri="{C3380CC4-5D6E-409C-BE32-E72D297353CC}">
              <c16:uniqueId val="{00000000-568C-4626-96B6-FAD8DB8A8E1B}"/>
            </c:ext>
          </c:extLst>
        </c:ser>
        <c:ser>
          <c:idx val="1"/>
          <c:order val="1"/>
          <c:tx>
            <c:v>Potential GDP</c:v>
          </c:tx>
          <c:spPr>
            <a:ln w="28575" cap="rnd">
              <a:solidFill>
                <a:schemeClr val="accent2"/>
              </a:solidFill>
              <a:round/>
            </a:ln>
            <a:effectLst/>
          </c:spPr>
          <c:marker>
            <c:symbol val="none"/>
          </c:marker>
          <c:val>
            <c:numRef>
              <c:f>'Assessment on Prod.F'!$R$99:$R$118</c:f>
              <c:numCache>
                <c:formatCode>_(* #,##0.0_);_(* \(#,##0.0\);_(* "-"??_);_(@_)</c:formatCode>
                <c:ptCount val="20"/>
                <c:pt idx="0">
                  <c:v>116502.61653276515</c:v>
                </c:pt>
                <c:pt idx="1">
                  <c:v>116625.39421461105</c:v>
                </c:pt>
                <c:pt idx="2">
                  <c:v>117138.78000007624</c:v>
                </c:pt>
                <c:pt idx="3">
                  <c:v>117989.40643628636</c:v>
                </c:pt>
                <c:pt idx="4">
                  <c:v>118741.18539337319</c:v>
                </c:pt>
                <c:pt idx="5">
                  <c:v>119594.27348333283</c:v>
                </c:pt>
                <c:pt idx="6">
                  <c:v>120346.95909457702</c:v>
                </c:pt>
                <c:pt idx="7">
                  <c:v>121097.76353317463</c:v>
                </c:pt>
                <c:pt idx="8" formatCode="0.00">
                  <c:v>121878.05179798113</c:v>
                </c:pt>
                <c:pt idx="9" formatCode="0.00">
                  <c:v>122734.56739923972</c:v>
                </c:pt>
                <c:pt idx="10" formatCode="0.00">
                  <c:v>123386.70069819267</c:v>
                </c:pt>
                <c:pt idx="11" formatCode="0.00">
                  <c:v>124817.25382242005</c:v>
                </c:pt>
                <c:pt idx="12" formatCode="0.00">
                  <c:v>125868.65612224408</c:v>
                </c:pt>
                <c:pt idx="13" formatCode="0.00">
                  <c:v>126919.56765393399</c:v>
                </c:pt>
                <c:pt idx="14" formatCode="0.00">
                  <c:v>127736.88341873947</c:v>
                </c:pt>
                <c:pt idx="15" formatCode="0.00">
                  <c:v>129371.1935024444</c:v>
                </c:pt>
                <c:pt idx="16" formatCode="0.00">
                  <c:v>130600.43287300447</c:v>
                </c:pt>
                <c:pt idx="17" formatCode="0.00">
                  <c:v>131811.56387169077</c:v>
                </c:pt>
                <c:pt idx="18" formatCode="0.00">
                  <c:v>132755.3247185449</c:v>
                </c:pt>
                <c:pt idx="19" formatCode="0.00">
                  <c:v>134561.2346332829</c:v>
                </c:pt>
              </c:numCache>
            </c:numRef>
          </c:val>
          <c:smooth val="0"/>
          <c:extLst>
            <c:ext xmlns:c16="http://schemas.microsoft.com/office/drawing/2014/chart" uri="{C3380CC4-5D6E-409C-BE32-E72D297353CC}">
              <c16:uniqueId val="{00000001-568C-4626-96B6-FAD8DB8A8E1B}"/>
            </c:ext>
          </c:extLst>
        </c:ser>
        <c:dLbls>
          <c:showLegendKey val="0"/>
          <c:showVal val="0"/>
          <c:showCatName val="0"/>
          <c:showSerName val="0"/>
          <c:showPercent val="0"/>
          <c:showBubbleSize val="0"/>
        </c:dLbls>
        <c:smooth val="0"/>
        <c:axId val="1535484192"/>
        <c:axId val="1535487936"/>
      </c:lineChart>
      <c:catAx>
        <c:axId val="153548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5487936"/>
        <c:crosses val="autoZero"/>
        <c:auto val="1"/>
        <c:lblAlgn val="ctr"/>
        <c:lblOffset val="100"/>
        <c:noMultiLvlLbl val="0"/>
      </c:catAx>
      <c:valAx>
        <c:axId val="1535487936"/>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5484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Investment</a:t>
            </a:r>
            <a:r>
              <a:rPr lang="en-US" baseline="0"/>
              <a:t> Shock</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Baseline Potential GDP</c:v>
          </c:tx>
          <c:spPr>
            <a:ln w="28575" cap="rnd">
              <a:solidFill>
                <a:schemeClr val="accent1"/>
              </a:solidFill>
              <a:round/>
            </a:ln>
            <a:effectLst/>
          </c:spPr>
          <c:marker>
            <c:symbol val="none"/>
          </c:marker>
          <c:cat>
            <c:strRef>
              <c:f>'Production Function'!$A$86:$A$105</c:f>
              <c:strCache>
                <c:ptCount val="20"/>
                <c:pt idx="0">
                  <c:v>2021Q1</c:v>
                </c:pt>
                <c:pt idx="1">
                  <c:v>2021Q2</c:v>
                </c:pt>
                <c:pt idx="2">
                  <c:v>2021Q3</c:v>
                </c:pt>
                <c:pt idx="3">
                  <c:v>2021Q4</c:v>
                </c:pt>
                <c:pt idx="4">
                  <c:v>2022Q1</c:v>
                </c:pt>
                <c:pt idx="5">
                  <c:v>2022Q2</c:v>
                </c:pt>
                <c:pt idx="6">
                  <c:v>2022Q3</c:v>
                </c:pt>
                <c:pt idx="7">
                  <c:v>2022Q4</c:v>
                </c:pt>
                <c:pt idx="8">
                  <c:v>2023Q1</c:v>
                </c:pt>
                <c:pt idx="9">
                  <c:v>2023Q2</c:v>
                </c:pt>
                <c:pt idx="10">
                  <c:v>2023Q3</c:v>
                </c:pt>
                <c:pt idx="11">
                  <c:v>2023Q4</c:v>
                </c:pt>
                <c:pt idx="12">
                  <c:v>2024Q1</c:v>
                </c:pt>
                <c:pt idx="13">
                  <c:v>2024Q2</c:v>
                </c:pt>
                <c:pt idx="14">
                  <c:v>2024Q3</c:v>
                </c:pt>
                <c:pt idx="15">
                  <c:v>2024Q4</c:v>
                </c:pt>
                <c:pt idx="16">
                  <c:v>2025Q1</c:v>
                </c:pt>
                <c:pt idx="17">
                  <c:v>2025Q2</c:v>
                </c:pt>
                <c:pt idx="18">
                  <c:v>2025Q3</c:v>
                </c:pt>
                <c:pt idx="19">
                  <c:v>2025Q4</c:v>
                </c:pt>
              </c:strCache>
            </c:strRef>
          </c:cat>
          <c:val>
            <c:numRef>
              <c:f>'Production Function'!$R$86:$R$105</c:f>
              <c:numCache>
                <c:formatCode>_(* #,##0.0_);_(* \(#,##0.0\);_(* "-"??_);_(@_)</c:formatCode>
                <c:ptCount val="20"/>
                <c:pt idx="0">
                  <c:v>116473.7959955586</c:v>
                </c:pt>
                <c:pt idx="1">
                  <c:v>116589.33792134075</c:v>
                </c:pt>
                <c:pt idx="2">
                  <c:v>117094.58370801606</c:v>
                </c:pt>
                <c:pt idx="3">
                  <c:v>117936.1395812063</c:v>
                </c:pt>
                <c:pt idx="4">
                  <c:v>118678.12296022782</c:v>
                </c:pt>
                <c:pt idx="5">
                  <c:v>119520.67085412169</c:v>
                </c:pt>
                <c:pt idx="6">
                  <c:v>120262.30471543717</c:v>
                </c:pt>
                <c:pt idx="7">
                  <c:v>121001.65721398764</c:v>
                </c:pt>
                <c:pt idx="8" formatCode="0.00">
                  <c:v>121898.53599781689</c:v>
                </c:pt>
                <c:pt idx="9" formatCode="0.00">
                  <c:v>122884.21389591137</c:v>
                </c:pt>
                <c:pt idx="10" formatCode="0.00">
                  <c:v>123783.74752848475</c:v>
                </c:pt>
                <c:pt idx="11" formatCode="0.00">
                  <c:v>124706.04743067751</c:v>
                </c:pt>
                <c:pt idx="12" formatCode="0.00">
                  <c:v>125806.6483053219</c:v>
                </c:pt>
                <c:pt idx="13" formatCode="0.00">
                  <c:v>126979.02561463804</c:v>
                </c:pt>
                <c:pt idx="14" formatCode="0.00">
                  <c:v>128054.44017654509</c:v>
                </c:pt>
                <c:pt idx="15" formatCode="0.00">
                  <c:v>129188.27926414179</c:v>
                </c:pt>
                <c:pt idx="16" formatCode="0.00">
                  <c:v>130466.79558486385</c:v>
                </c:pt>
                <c:pt idx="17" formatCode="0.00">
                  <c:v>131795.94546397481</c:v>
                </c:pt>
                <c:pt idx="18" formatCode="0.00">
                  <c:v>133001.58216796303</c:v>
                </c:pt>
                <c:pt idx="19" formatCode="0.00">
                  <c:v>134311.56925937854</c:v>
                </c:pt>
              </c:numCache>
            </c:numRef>
          </c:val>
          <c:smooth val="0"/>
          <c:extLst>
            <c:ext xmlns:c16="http://schemas.microsoft.com/office/drawing/2014/chart" uri="{C3380CC4-5D6E-409C-BE32-E72D297353CC}">
              <c16:uniqueId val="{00000000-AAAA-4BB4-A700-85126BAFBECA}"/>
            </c:ext>
          </c:extLst>
        </c:ser>
        <c:ser>
          <c:idx val="1"/>
          <c:order val="1"/>
          <c:tx>
            <c:v>Potential GDP</c:v>
          </c:tx>
          <c:spPr>
            <a:ln w="28575" cap="rnd">
              <a:solidFill>
                <a:schemeClr val="accent2"/>
              </a:solidFill>
              <a:round/>
            </a:ln>
            <a:effectLst/>
          </c:spPr>
          <c:marker>
            <c:symbol val="none"/>
          </c:marker>
          <c:val>
            <c:numRef>
              <c:f>'Assessment on Prod.F'!$R$213:$R$232</c:f>
              <c:numCache>
                <c:formatCode>_(* #,##0_);_(* \(#,##0\);_(* "-"??_);_(@_)</c:formatCode>
                <c:ptCount val="20"/>
                <c:pt idx="0">
                  <c:v>116473.7959955586</c:v>
                </c:pt>
                <c:pt idx="1">
                  <c:v>116589.33792134075</c:v>
                </c:pt>
                <c:pt idx="2">
                  <c:v>117094.58370801606</c:v>
                </c:pt>
                <c:pt idx="3">
                  <c:v>117936.1395812063</c:v>
                </c:pt>
                <c:pt idx="4">
                  <c:v>118678.12296022782</c:v>
                </c:pt>
                <c:pt idx="5">
                  <c:v>119520.67085412169</c:v>
                </c:pt>
                <c:pt idx="6">
                  <c:v>120262.30471543717</c:v>
                </c:pt>
                <c:pt idx="7">
                  <c:v>121001.65721398764</c:v>
                </c:pt>
                <c:pt idx="8" formatCode="_(* #,##0.00_);_(* \(#,##0.00\);_(* &quot;-&quot;??_);_(@_)">
                  <c:v>121898.53599781689</c:v>
                </c:pt>
                <c:pt idx="9" formatCode="_(* #,##0.00_);_(* \(#,##0.00\);_(* &quot;-&quot;??_);_(@_)">
                  <c:v>122884.21389591137</c:v>
                </c:pt>
                <c:pt idx="10" formatCode="_(* #,##0.00_);_(* \(#,##0.00\);_(* &quot;-&quot;??_);_(@_)">
                  <c:v>123783.74752848475</c:v>
                </c:pt>
                <c:pt idx="11" formatCode="_(* #,##0.00_);_(* \(#,##0.00\);_(* &quot;-&quot;??_);_(@_)">
                  <c:v>124706.04743067751</c:v>
                </c:pt>
                <c:pt idx="12" formatCode="_(* #,##0.00_);_(* \(#,##0.00\);_(* &quot;-&quot;??_);_(@_)">
                  <c:v>125806.6483053219</c:v>
                </c:pt>
                <c:pt idx="13" formatCode="_(* #,##0.00_);_(* \(#,##0.00\);_(* &quot;-&quot;??_);_(@_)">
                  <c:v>126979.02561463804</c:v>
                </c:pt>
                <c:pt idx="14" formatCode="_(* #,##0.00_);_(* \(#,##0.00\);_(* &quot;-&quot;??_);_(@_)">
                  <c:v>128054.44017654509</c:v>
                </c:pt>
                <c:pt idx="15" formatCode="_(* #,##0.00_);_(* \(#,##0.00\);_(* &quot;-&quot;??_);_(@_)">
                  <c:v>129188.27926414179</c:v>
                </c:pt>
                <c:pt idx="16" formatCode="_(* #,##0.00_);_(* \(#,##0.00\);_(* &quot;-&quot;??_);_(@_)">
                  <c:v>130466.79558486385</c:v>
                </c:pt>
                <c:pt idx="17" formatCode="_(* #,##0.00_);_(* \(#,##0.00\);_(* &quot;-&quot;??_);_(@_)">
                  <c:v>131795.94546397481</c:v>
                </c:pt>
                <c:pt idx="18" formatCode="_(* #,##0.00_);_(* \(#,##0.00\);_(* &quot;-&quot;??_);_(@_)">
                  <c:v>133001.58216796303</c:v>
                </c:pt>
                <c:pt idx="19" formatCode="_(* #,##0.00_);_(* \(#,##0.00\);_(* &quot;-&quot;??_);_(@_)">
                  <c:v>134311.56925937854</c:v>
                </c:pt>
              </c:numCache>
            </c:numRef>
          </c:val>
          <c:smooth val="0"/>
          <c:extLst>
            <c:ext xmlns:c16="http://schemas.microsoft.com/office/drawing/2014/chart" uri="{C3380CC4-5D6E-409C-BE32-E72D297353CC}">
              <c16:uniqueId val="{00000001-AAAA-4BB4-A700-85126BAFBECA}"/>
            </c:ext>
          </c:extLst>
        </c:ser>
        <c:dLbls>
          <c:showLegendKey val="0"/>
          <c:showVal val="0"/>
          <c:showCatName val="0"/>
          <c:showSerName val="0"/>
          <c:showPercent val="0"/>
          <c:showBubbleSize val="0"/>
        </c:dLbls>
        <c:smooth val="0"/>
        <c:axId val="1535484192"/>
        <c:axId val="1535487936"/>
      </c:lineChart>
      <c:catAx>
        <c:axId val="153548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5487936"/>
        <c:crosses val="autoZero"/>
        <c:auto val="1"/>
        <c:lblAlgn val="ctr"/>
        <c:lblOffset val="100"/>
        <c:noMultiLvlLbl val="0"/>
      </c:catAx>
      <c:valAx>
        <c:axId val="1535487936"/>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5484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a:t>
            </a:r>
            <a:r>
              <a:rPr lang="en-US" baseline="0"/>
              <a:t> Shock</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Baseline Potential GDP</c:v>
          </c:tx>
          <c:spPr>
            <a:ln w="28575" cap="rnd">
              <a:solidFill>
                <a:schemeClr val="accent1"/>
              </a:solidFill>
              <a:round/>
            </a:ln>
            <a:effectLst/>
          </c:spPr>
          <c:marker>
            <c:symbol val="none"/>
          </c:marker>
          <c:cat>
            <c:strRef>
              <c:f>'Production Function'!$A$86:$A$105</c:f>
              <c:strCache>
                <c:ptCount val="20"/>
                <c:pt idx="0">
                  <c:v>2021Q1</c:v>
                </c:pt>
                <c:pt idx="1">
                  <c:v>2021Q2</c:v>
                </c:pt>
                <c:pt idx="2">
                  <c:v>2021Q3</c:v>
                </c:pt>
                <c:pt idx="3">
                  <c:v>2021Q4</c:v>
                </c:pt>
                <c:pt idx="4">
                  <c:v>2022Q1</c:v>
                </c:pt>
                <c:pt idx="5">
                  <c:v>2022Q2</c:v>
                </c:pt>
                <c:pt idx="6">
                  <c:v>2022Q3</c:v>
                </c:pt>
                <c:pt idx="7">
                  <c:v>2022Q4</c:v>
                </c:pt>
                <c:pt idx="8">
                  <c:v>2023Q1</c:v>
                </c:pt>
                <c:pt idx="9">
                  <c:v>2023Q2</c:v>
                </c:pt>
                <c:pt idx="10">
                  <c:v>2023Q3</c:v>
                </c:pt>
                <c:pt idx="11">
                  <c:v>2023Q4</c:v>
                </c:pt>
                <c:pt idx="12">
                  <c:v>2024Q1</c:v>
                </c:pt>
                <c:pt idx="13">
                  <c:v>2024Q2</c:v>
                </c:pt>
                <c:pt idx="14">
                  <c:v>2024Q3</c:v>
                </c:pt>
                <c:pt idx="15">
                  <c:v>2024Q4</c:v>
                </c:pt>
                <c:pt idx="16">
                  <c:v>2025Q1</c:v>
                </c:pt>
                <c:pt idx="17">
                  <c:v>2025Q2</c:v>
                </c:pt>
                <c:pt idx="18">
                  <c:v>2025Q3</c:v>
                </c:pt>
                <c:pt idx="19">
                  <c:v>2025Q4</c:v>
                </c:pt>
              </c:strCache>
            </c:strRef>
          </c:cat>
          <c:val>
            <c:numRef>
              <c:f>'Production Function'!$R$86:$R$105</c:f>
              <c:numCache>
                <c:formatCode>_(* #,##0.0_);_(* \(#,##0.0\);_(* "-"??_);_(@_)</c:formatCode>
                <c:ptCount val="20"/>
                <c:pt idx="0">
                  <c:v>116473.7959955586</c:v>
                </c:pt>
                <c:pt idx="1">
                  <c:v>116589.33792134075</c:v>
                </c:pt>
                <c:pt idx="2">
                  <c:v>117094.58370801606</c:v>
                </c:pt>
                <c:pt idx="3">
                  <c:v>117936.1395812063</c:v>
                </c:pt>
                <c:pt idx="4">
                  <c:v>118678.12296022782</c:v>
                </c:pt>
                <c:pt idx="5">
                  <c:v>119520.67085412169</c:v>
                </c:pt>
                <c:pt idx="6">
                  <c:v>120262.30471543717</c:v>
                </c:pt>
                <c:pt idx="7">
                  <c:v>121001.65721398764</c:v>
                </c:pt>
                <c:pt idx="8" formatCode="0.00">
                  <c:v>121898.53599781689</c:v>
                </c:pt>
                <c:pt idx="9" formatCode="0.00">
                  <c:v>122884.21389591137</c:v>
                </c:pt>
                <c:pt idx="10" formatCode="0.00">
                  <c:v>123783.74752848475</c:v>
                </c:pt>
                <c:pt idx="11" formatCode="0.00">
                  <c:v>124706.04743067751</c:v>
                </c:pt>
                <c:pt idx="12" formatCode="0.00">
                  <c:v>125806.6483053219</c:v>
                </c:pt>
                <c:pt idx="13" formatCode="0.00">
                  <c:v>126979.02561463804</c:v>
                </c:pt>
                <c:pt idx="14" formatCode="0.00">
                  <c:v>128054.44017654509</c:v>
                </c:pt>
                <c:pt idx="15" formatCode="0.00">
                  <c:v>129188.27926414179</c:v>
                </c:pt>
                <c:pt idx="16" formatCode="0.00">
                  <c:v>130466.79558486385</c:v>
                </c:pt>
                <c:pt idx="17" formatCode="0.00">
                  <c:v>131795.94546397481</c:v>
                </c:pt>
                <c:pt idx="18" formatCode="0.00">
                  <c:v>133001.58216796303</c:v>
                </c:pt>
                <c:pt idx="19" formatCode="0.00">
                  <c:v>134311.56925937854</c:v>
                </c:pt>
              </c:numCache>
            </c:numRef>
          </c:val>
          <c:smooth val="0"/>
          <c:extLst>
            <c:ext xmlns:c16="http://schemas.microsoft.com/office/drawing/2014/chart" uri="{C3380CC4-5D6E-409C-BE32-E72D297353CC}">
              <c16:uniqueId val="{00000000-F820-489D-B849-ACD1DAE249F8}"/>
            </c:ext>
          </c:extLst>
        </c:ser>
        <c:ser>
          <c:idx val="1"/>
          <c:order val="1"/>
          <c:tx>
            <c:v>Potential GDP</c:v>
          </c:tx>
          <c:spPr>
            <a:ln w="28575" cap="rnd">
              <a:solidFill>
                <a:schemeClr val="accent2"/>
              </a:solidFill>
              <a:round/>
            </a:ln>
            <a:effectLst/>
          </c:spPr>
          <c:marker>
            <c:symbol val="none"/>
          </c:marker>
          <c:val>
            <c:numRef>
              <c:f>'Assessment on Prod.F'!$R$322:$R$341</c:f>
              <c:numCache>
                <c:formatCode>_(* #,##0.0_);_(* \(#,##0.0\);_(* "-"??_);_(@_)</c:formatCode>
                <c:ptCount val="20"/>
                <c:pt idx="0">
                  <c:v>116502.61653276515</c:v>
                </c:pt>
                <c:pt idx="1">
                  <c:v>116625.39421461105</c:v>
                </c:pt>
                <c:pt idx="2">
                  <c:v>117138.78000007624</c:v>
                </c:pt>
                <c:pt idx="3">
                  <c:v>117989.40643628636</c:v>
                </c:pt>
                <c:pt idx="4">
                  <c:v>118741.18539337319</c:v>
                </c:pt>
                <c:pt idx="5">
                  <c:v>119594.27348333283</c:v>
                </c:pt>
                <c:pt idx="6">
                  <c:v>120346.95909457702</c:v>
                </c:pt>
                <c:pt idx="7">
                  <c:v>121097.76353317463</c:v>
                </c:pt>
                <c:pt idx="8" formatCode="0.0">
                  <c:v>121878.05179798113</c:v>
                </c:pt>
                <c:pt idx="9" formatCode="0.0">
                  <c:v>122734.56739923972</c:v>
                </c:pt>
                <c:pt idx="10" formatCode="0.0">
                  <c:v>123386.70069819267</c:v>
                </c:pt>
                <c:pt idx="11" formatCode="0.0">
                  <c:v>124817.25382242005</c:v>
                </c:pt>
                <c:pt idx="12" formatCode="0.0">
                  <c:v>125868.65612224408</c:v>
                </c:pt>
                <c:pt idx="13" formatCode="0.0">
                  <c:v>126919.56765393399</c:v>
                </c:pt>
                <c:pt idx="14" formatCode="0.0">
                  <c:v>127736.88341873947</c:v>
                </c:pt>
                <c:pt idx="15" formatCode="0.0">
                  <c:v>129371.1935024444</c:v>
                </c:pt>
                <c:pt idx="16" formatCode="0.0">
                  <c:v>130600.43287300447</c:v>
                </c:pt>
                <c:pt idx="17" formatCode="0.0">
                  <c:v>131811.56387169077</c:v>
                </c:pt>
                <c:pt idx="18" formatCode="0.0">
                  <c:v>132755.3247185449</c:v>
                </c:pt>
                <c:pt idx="19" formatCode="0.0">
                  <c:v>134561.2346332829</c:v>
                </c:pt>
              </c:numCache>
            </c:numRef>
          </c:val>
          <c:smooth val="0"/>
          <c:extLst>
            <c:ext xmlns:c16="http://schemas.microsoft.com/office/drawing/2014/chart" uri="{C3380CC4-5D6E-409C-BE32-E72D297353CC}">
              <c16:uniqueId val="{00000001-F820-489D-B849-ACD1DAE249F8}"/>
            </c:ext>
          </c:extLst>
        </c:ser>
        <c:dLbls>
          <c:showLegendKey val="0"/>
          <c:showVal val="0"/>
          <c:showCatName val="0"/>
          <c:showSerName val="0"/>
          <c:showPercent val="0"/>
          <c:showBubbleSize val="0"/>
        </c:dLbls>
        <c:smooth val="0"/>
        <c:axId val="1535484192"/>
        <c:axId val="1535487936"/>
      </c:lineChart>
      <c:catAx>
        <c:axId val="153548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5487936"/>
        <c:crosses val="autoZero"/>
        <c:auto val="1"/>
        <c:lblAlgn val="ctr"/>
        <c:lblOffset val="100"/>
        <c:noMultiLvlLbl val="0"/>
      </c:catAx>
      <c:valAx>
        <c:axId val="1535487936"/>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5484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24</xdr:col>
      <xdr:colOff>57647</xdr:colOff>
      <xdr:row>16</xdr:row>
      <xdr:rowOff>69905</xdr:rowOff>
    </xdr:from>
    <xdr:to>
      <xdr:col>31</xdr:col>
      <xdr:colOff>109332</xdr:colOff>
      <xdr:row>33</xdr:row>
      <xdr:rowOff>127882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314325</xdr:colOff>
      <xdr:row>25</xdr:row>
      <xdr:rowOff>41275</xdr:rowOff>
    </xdr:from>
    <xdr:to>
      <xdr:col>25</xdr:col>
      <xdr:colOff>135687</xdr:colOff>
      <xdr:row>32</xdr:row>
      <xdr:rowOff>69680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6468725" y="4905375"/>
          <a:ext cx="6704762" cy="1273005"/>
        </a:xfrm>
        <a:prstGeom prst="rect">
          <a:avLst/>
        </a:prstGeom>
      </xdr:spPr>
    </xdr:pic>
    <xdr:clientData/>
  </xdr:twoCellAnchor>
  <xdr:twoCellAnchor>
    <xdr:from>
      <xdr:col>6</xdr:col>
      <xdr:colOff>161925</xdr:colOff>
      <xdr:row>25</xdr:row>
      <xdr:rowOff>100012</xdr:rowOff>
    </xdr:from>
    <xdr:to>
      <xdr:col>15</xdr:col>
      <xdr:colOff>247650</xdr:colOff>
      <xdr:row>39</xdr:row>
      <xdr:rowOff>176212</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76199</xdr:colOff>
      <xdr:row>40</xdr:row>
      <xdr:rowOff>133350</xdr:rowOff>
    </xdr:from>
    <xdr:to>
      <xdr:col>15</xdr:col>
      <xdr:colOff>209549</xdr:colOff>
      <xdr:row>55</xdr:row>
      <xdr:rowOff>19050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57</xdr:row>
      <xdr:rowOff>0</xdr:rowOff>
    </xdr:from>
    <xdr:to>
      <xdr:col>15</xdr:col>
      <xdr:colOff>133350</xdr:colOff>
      <xdr:row>68</xdr:row>
      <xdr:rowOff>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57647</xdr:colOff>
      <xdr:row>3</xdr:row>
      <xdr:rowOff>69904</xdr:rowOff>
    </xdr:from>
    <xdr:to>
      <xdr:col>33</xdr:col>
      <xdr:colOff>57873</xdr:colOff>
      <xdr:row>28</xdr:row>
      <xdr:rowOff>38581</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0</xdr:colOff>
      <xdr:row>3</xdr:row>
      <xdr:rowOff>53340</xdr:rowOff>
    </xdr:from>
    <xdr:to>
      <xdr:col>22</xdr:col>
      <xdr:colOff>297180</xdr:colOff>
      <xdr:row>5</xdr:row>
      <xdr:rowOff>144780</xdr:rowOff>
    </xdr:to>
    <xdr:pic>
      <xdr:nvPicPr>
        <xdr:cNvPr id="2" name="Picture 1">
          <a:extLst>
            <a:ext uri="{FF2B5EF4-FFF2-40B4-BE49-F238E27FC236}">
              <a16:creationId xmlns:a16="http://schemas.microsoft.com/office/drawing/2014/main" id="{5767FECF-30A7-1101-C705-53E7D85A7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647700"/>
          <a:ext cx="273558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167640</xdr:colOff>
      <xdr:row>0</xdr:row>
      <xdr:rowOff>163830</xdr:rowOff>
    </xdr:from>
    <xdr:to>
      <xdr:col>9</xdr:col>
      <xdr:colOff>441960</xdr:colOff>
      <xdr:row>13</xdr:row>
      <xdr:rowOff>129540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14</xdr:row>
      <xdr:rowOff>175260</xdr:rowOff>
    </xdr:from>
    <xdr:to>
      <xdr:col>9</xdr:col>
      <xdr:colOff>434340</xdr:colOff>
      <xdr:row>27</xdr:row>
      <xdr:rowOff>140970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29</xdr:row>
      <xdr:rowOff>0</xdr:rowOff>
    </xdr:from>
    <xdr:to>
      <xdr:col>9</xdr:col>
      <xdr:colOff>274320</xdr:colOff>
      <xdr:row>41</xdr:row>
      <xdr:rowOff>148590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43</xdr:row>
      <xdr:rowOff>0</xdr:rowOff>
    </xdr:from>
    <xdr:to>
      <xdr:col>9</xdr:col>
      <xdr:colOff>274320</xdr:colOff>
      <xdr:row>55</xdr:row>
      <xdr:rowOff>148590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LSE%20Electronics/OneDrive/Desktop/HPFilt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s>
    <definedNames>
      <definedName name="HP"/>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onpapers.repec.org/software/dgeqmrbcd/165.ht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5"/>
  <sheetViews>
    <sheetView workbookViewId="0">
      <selection activeCell="F20" sqref="F20"/>
    </sheetView>
  </sheetViews>
  <sheetFormatPr defaultRowHeight="14.4"/>
  <sheetData>
    <row r="1" spans="1:4">
      <c r="A1" t="s">
        <v>5</v>
      </c>
      <c r="B1" t="s">
        <v>6</v>
      </c>
      <c r="C1" t="s">
        <v>7</v>
      </c>
      <c r="D1" t="s">
        <v>4</v>
      </c>
    </row>
    <row r="2" spans="1:4">
      <c r="A2">
        <v>2000</v>
      </c>
      <c r="B2">
        <v>3.1858352648562063</v>
      </c>
      <c r="C2">
        <v>1100.4421086497005</v>
      </c>
      <c r="D2">
        <v>0.35556300471640917</v>
      </c>
    </row>
    <row r="3" spans="1:4">
      <c r="A3">
        <v>2001</v>
      </c>
      <c r="B3">
        <v>3.5371940457297675</v>
      </c>
      <c r="C3">
        <v>1374.870700595133</v>
      </c>
      <c r="D3">
        <v>0.35556300471640917</v>
      </c>
    </row>
    <row r="4" spans="1:4">
      <c r="A4">
        <v>2002</v>
      </c>
      <c r="B4">
        <v>3.5443901200241852</v>
      </c>
      <c r="C4">
        <v>1251.4057835472495</v>
      </c>
      <c r="D4">
        <v>0.36488188126859195</v>
      </c>
    </row>
    <row r="5" spans="1:4">
      <c r="A5">
        <v>2003</v>
      </c>
      <c r="B5">
        <v>3.7365048169240049</v>
      </c>
      <c r="C5">
        <v>1303.4710859156503</v>
      </c>
      <c r="D5">
        <v>0.37119214778086673</v>
      </c>
    </row>
    <row r="6" spans="1:4">
      <c r="A6">
        <v>2004</v>
      </c>
      <c r="B6">
        <v>3.8348122804009179</v>
      </c>
      <c r="C6">
        <v>1525.1719308955089</v>
      </c>
      <c r="D6">
        <v>0.39385440522433018</v>
      </c>
    </row>
    <row r="7" spans="1:4">
      <c r="A7">
        <v>2005</v>
      </c>
      <c r="B7">
        <v>3.9817936406547978</v>
      </c>
      <c r="C7">
        <v>922.31626740715194</v>
      </c>
      <c r="D7">
        <v>0.39873851243197322</v>
      </c>
    </row>
    <row r="8" spans="1:4">
      <c r="A8">
        <v>2006</v>
      </c>
      <c r="B8">
        <v>4.1174859463332725</v>
      </c>
      <c r="C8">
        <v>961.94049095159539</v>
      </c>
      <c r="D8">
        <v>0.40440407679283907</v>
      </c>
    </row>
    <row r="9" spans="1:4">
      <c r="A9">
        <v>2007</v>
      </c>
      <c r="B9">
        <v>4.4592844951132049</v>
      </c>
      <c r="C9">
        <v>1001.0795262223278</v>
      </c>
      <c r="D9">
        <v>0.41026500544201072</v>
      </c>
    </row>
    <row r="10" spans="1:4">
      <c r="A10">
        <v>2008</v>
      </c>
      <c r="B10">
        <v>4.6594762609101235</v>
      </c>
      <c r="C10">
        <v>1260.3985651584887</v>
      </c>
      <c r="D10">
        <v>0.41534447693795945</v>
      </c>
    </row>
    <row r="11" spans="1:4">
      <c r="A11">
        <v>2009</v>
      </c>
      <c r="B11">
        <v>4.8270873526460765</v>
      </c>
      <c r="C11">
        <v>1397.6624443127253</v>
      </c>
      <c r="D11">
        <v>0.42206190856732295</v>
      </c>
    </row>
    <row r="12" spans="1:4">
      <c r="A12">
        <v>2010</v>
      </c>
      <c r="B12">
        <v>4.9867994047829969</v>
      </c>
      <c r="C12">
        <v>1549.3758991159532</v>
      </c>
      <c r="D12">
        <v>0.42873251963534376</v>
      </c>
    </row>
    <row r="13" spans="1:4">
      <c r="A13">
        <v>2011</v>
      </c>
      <c r="B13">
        <v>5.2050600727383438</v>
      </c>
      <c r="C13">
        <v>1671.5668362045089</v>
      </c>
      <c r="D13">
        <v>0.42994874957672535</v>
      </c>
    </row>
    <row r="14" spans="1:4">
      <c r="A14">
        <v>2012</v>
      </c>
      <c r="B14">
        <v>5.3513458304606321</v>
      </c>
      <c r="C14">
        <v>1456.4801395954398</v>
      </c>
      <c r="D14">
        <v>0.43854399999999999</v>
      </c>
    </row>
    <row r="15" spans="1:4">
      <c r="A15">
        <v>2013</v>
      </c>
      <c r="B15">
        <v>5.5355134195873825</v>
      </c>
      <c r="C15">
        <v>1451.6075708347012</v>
      </c>
      <c r="D15">
        <v>0.48319299999999998</v>
      </c>
    </row>
    <row r="16" spans="1:4">
      <c r="A16">
        <v>2014</v>
      </c>
      <c r="B16">
        <v>5.6031824116189339</v>
      </c>
      <c r="C16">
        <v>1379.6098216567434</v>
      </c>
      <c r="D16">
        <v>0.500251</v>
      </c>
    </row>
    <row r="17" spans="1:4">
      <c r="A17">
        <v>2015</v>
      </c>
      <c r="B17">
        <v>5.833093031314422</v>
      </c>
      <c r="C17">
        <v>1534.9776179515379</v>
      </c>
      <c r="D17">
        <v>0.442716</v>
      </c>
    </row>
    <row r="18" spans="1:4">
      <c r="A18">
        <v>2016</v>
      </c>
      <c r="B18">
        <v>6.0701131246125035</v>
      </c>
      <c r="C18">
        <v>1650.0656697549625</v>
      </c>
      <c r="D18">
        <v>0.45783099999999999</v>
      </c>
    </row>
    <row r="19" spans="1:4">
      <c r="A19">
        <v>2017</v>
      </c>
      <c r="B19">
        <v>6.3266415705702954</v>
      </c>
      <c r="C19">
        <v>1742.2107498296682</v>
      </c>
      <c r="D19">
        <v>0.51367799999999997</v>
      </c>
    </row>
    <row r="20" spans="1:4">
      <c r="A20">
        <v>2018</v>
      </c>
      <c r="B20">
        <v>6.5797072333931075</v>
      </c>
      <c r="C20">
        <v>1845.4880542989031</v>
      </c>
      <c r="D20">
        <v>0.517787424</v>
      </c>
    </row>
    <row r="21" spans="1:4">
      <c r="A21">
        <v>2019</v>
      </c>
      <c r="B21">
        <v>6.8428955227288313</v>
      </c>
      <c r="C21">
        <v>1939.4751016351556</v>
      </c>
      <c r="D21">
        <v>0.52192972339200006</v>
      </c>
    </row>
    <row r="22" spans="1:4">
      <c r="A22">
        <v>2020</v>
      </c>
      <c r="B22">
        <v>7.1166113436379854</v>
      </c>
      <c r="C22">
        <v>2021.8461694530188</v>
      </c>
      <c r="D22">
        <v>0.52610516117913597</v>
      </c>
    </row>
    <row r="23" spans="1:4">
      <c r="A23">
        <v>2021</v>
      </c>
      <c r="B23">
        <v>7.4012757973835068</v>
      </c>
      <c r="C23">
        <v>2126.9459391099199</v>
      </c>
      <c r="D23">
        <v>0.53031400246856908</v>
      </c>
    </row>
    <row r="24" spans="1:4">
      <c r="A24">
        <v>2022</v>
      </c>
      <c r="B24">
        <v>7.6973268292788459</v>
      </c>
      <c r="C24">
        <v>2225.5236579451289</v>
      </c>
      <c r="D24">
        <v>0.53455651448831765</v>
      </c>
    </row>
    <row r="25" spans="1:4">
      <c r="A25">
        <v>2023</v>
      </c>
      <c r="B25">
        <v>8.0052199024499995</v>
      </c>
      <c r="C25">
        <v>2348.6734407026979</v>
      </c>
      <c r="D25">
        <v>0.53883296660422431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B11" sqref="B11"/>
    </sheetView>
  </sheetViews>
  <sheetFormatPr defaultColWidth="0" defaultRowHeight="14.4" zeroHeight="1"/>
  <cols>
    <col min="1" max="1" width="32.5546875" style="6" customWidth="1"/>
    <col min="2" max="2" width="104.44140625" style="6" customWidth="1"/>
    <col min="3" max="3" width="78.77734375" style="6" customWidth="1"/>
    <col min="4" max="5" width="8.88671875" style="6" customWidth="1"/>
    <col min="6" max="8" width="0" style="6" hidden="1" customWidth="1"/>
    <col min="9" max="16384" width="8.88671875" style="6" hidden="1"/>
  </cols>
  <sheetData>
    <row r="1" spans="1:3">
      <c r="A1" s="196" t="s">
        <v>368</v>
      </c>
      <c r="B1" s="231" t="s">
        <v>363</v>
      </c>
      <c r="C1" s="231"/>
    </row>
    <row r="2" spans="1:3">
      <c r="A2" s="197" t="s">
        <v>368</v>
      </c>
      <c r="B2" s="231" t="s">
        <v>365</v>
      </c>
      <c r="C2" s="231"/>
    </row>
    <row r="3" spans="1:3">
      <c r="A3" s="198" t="s">
        <v>368</v>
      </c>
      <c r="B3" s="231" t="s">
        <v>364</v>
      </c>
      <c r="C3" s="231"/>
    </row>
    <row r="4" spans="1:3">
      <c r="A4" s="7" t="s">
        <v>366</v>
      </c>
      <c r="B4" s="231" t="s">
        <v>367</v>
      </c>
      <c r="C4" s="231"/>
    </row>
    <row r="5" spans="1:3">
      <c r="A5" s="226" t="s">
        <v>377</v>
      </c>
      <c r="B5" s="232" t="s">
        <v>378</v>
      </c>
      <c r="C5" s="231"/>
    </row>
    <row r="6" spans="1:3">
      <c r="A6" s="227"/>
      <c r="B6" s="233" t="s">
        <v>379</v>
      </c>
      <c r="C6" s="234"/>
    </row>
    <row r="7" spans="1:3" ht="18.600000000000001" customHeight="1">
      <c r="A7" s="227"/>
      <c r="B7" s="229" t="s">
        <v>380</v>
      </c>
      <c r="C7" s="230"/>
    </row>
    <row r="8" spans="1:3" ht="18.600000000000001" customHeight="1">
      <c r="A8" s="227"/>
      <c r="B8" s="235" t="s">
        <v>381</v>
      </c>
      <c r="C8" s="236"/>
    </row>
    <row r="9" spans="1:3" ht="37.799999999999997" customHeight="1">
      <c r="A9" s="228"/>
      <c r="B9" s="235" t="s">
        <v>382</v>
      </c>
      <c r="C9" s="236"/>
    </row>
    <row r="10" spans="1:3" ht="15.6">
      <c r="A10" s="226"/>
      <c r="B10" s="51" t="s">
        <v>18</v>
      </c>
      <c r="C10" s="51" t="s">
        <v>361</v>
      </c>
    </row>
    <row r="11" spans="1:3" ht="100.8">
      <c r="A11" s="227"/>
      <c r="B11" s="8" t="s">
        <v>10</v>
      </c>
      <c r="C11" s="195" t="s">
        <v>362</v>
      </c>
    </row>
    <row r="12" spans="1:3">
      <c r="A12" s="227"/>
      <c r="B12" s="8" t="s">
        <v>14</v>
      </c>
      <c r="C12" s="7"/>
    </row>
    <row r="13" spans="1:3">
      <c r="A13" s="227"/>
      <c r="B13" s="8" t="s">
        <v>15</v>
      </c>
      <c r="C13" s="8"/>
    </row>
    <row r="14" spans="1:3">
      <c r="A14" s="227"/>
      <c r="B14" s="8" t="s">
        <v>16</v>
      </c>
      <c r="C14" s="8"/>
    </row>
    <row r="15" spans="1:3">
      <c r="A15" s="227"/>
      <c r="B15" s="8" t="s">
        <v>17</v>
      </c>
      <c r="C15" s="8"/>
    </row>
    <row r="16" spans="1:3">
      <c r="A16" s="227"/>
      <c r="B16" s="7"/>
      <c r="C16" s="8"/>
    </row>
    <row r="17" spans="1:7">
      <c r="A17" s="227"/>
      <c r="B17" s="8" t="s">
        <v>11</v>
      </c>
      <c r="D17" s="5"/>
      <c r="E17" s="5"/>
      <c r="F17" s="5"/>
      <c r="G17" s="5"/>
    </row>
    <row r="18" spans="1:7" ht="57.6" customHeight="1">
      <c r="A18" s="227"/>
      <c r="B18" s="8" t="s">
        <v>12</v>
      </c>
      <c r="C18" s="8"/>
      <c r="D18" s="5"/>
      <c r="E18" s="5"/>
      <c r="F18" s="5"/>
      <c r="G18" s="5"/>
    </row>
    <row r="19" spans="1:7">
      <c r="A19" s="227"/>
      <c r="B19" s="8" t="s">
        <v>13</v>
      </c>
      <c r="C19" s="8"/>
      <c r="D19" s="5"/>
      <c r="E19" s="5"/>
      <c r="F19" s="5"/>
      <c r="G19" s="5"/>
    </row>
    <row r="20" spans="1:7">
      <c r="A20" s="228"/>
      <c r="B20" s="7"/>
      <c r="C20" s="7"/>
    </row>
    <row r="21" spans="1:7">
      <c r="A21" s="225" t="s">
        <v>19</v>
      </c>
      <c r="B21" s="225"/>
      <c r="C21" s="7"/>
    </row>
    <row r="22" spans="1:7">
      <c r="A22" s="226"/>
      <c r="B22" s="7" t="s">
        <v>20</v>
      </c>
      <c r="C22" s="7"/>
    </row>
    <row r="23" spans="1:7">
      <c r="A23" s="227"/>
      <c r="B23" s="7" t="s">
        <v>214</v>
      </c>
      <c r="C23" s="7"/>
    </row>
    <row r="24" spans="1:7">
      <c r="A24" s="228"/>
      <c r="B24" s="7"/>
      <c r="C24" s="7"/>
    </row>
    <row r="25" spans="1:7" ht="72">
      <c r="A25" s="9" t="s">
        <v>22</v>
      </c>
      <c r="B25" s="9" t="s">
        <v>21</v>
      </c>
      <c r="C25" s="9" t="s">
        <v>215</v>
      </c>
    </row>
    <row r="26" spans="1:7" ht="57.6">
      <c r="A26" s="9" t="s">
        <v>23</v>
      </c>
      <c r="B26" s="9" t="s">
        <v>24</v>
      </c>
      <c r="C26" s="7"/>
    </row>
    <row r="27" spans="1:7" ht="43.2">
      <c r="A27" s="9" t="s">
        <v>26</v>
      </c>
      <c r="B27" s="9" t="s">
        <v>25</v>
      </c>
      <c r="C27" s="7"/>
    </row>
    <row r="28" spans="1:7"/>
    <row r="29" spans="1:7"/>
    <row r="30" spans="1:7"/>
    <row r="31" spans="1:7"/>
    <row r="32" spans="1:7"/>
    <row r="33"/>
    <row r="34"/>
    <row r="35"/>
    <row r="36"/>
    <row r="37"/>
    <row r="38"/>
  </sheetData>
  <mergeCells count="13">
    <mergeCell ref="A21:B21"/>
    <mergeCell ref="A10:A20"/>
    <mergeCell ref="A22:A24"/>
    <mergeCell ref="B7:C7"/>
    <mergeCell ref="B1:C1"/>
    <mergeCell ref="B2:C2"/>
    <mergeCell ref="B3:C3"/>
    <mergeCell ref="B4:C4"/>
    <mergeCell ref="B5:C5"/>
    <mergeCell ref="B6:C6"/>
    <mergeCell ref="B8:C8"/>
    <mergeCell ref="B9:C9"/>
    <mergeCell ref="A5:A9"/>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428"/>
  <sheetViews>
    <sheetView topLeftCell="A226" zoomScale="79" zoomScaleNormal="79" workbookViewId="0">
      <selection activeCell="F238" sqref="F238:G341"/>
    </sheetView>
  </sheetViews>
  <sheetFormatPr defaultColWidth="8.88671875" defaultRowHeight="14.4"/>
  <cols>
    <col min="1" max="1" width="8.88671875" style="13"/>
    <col min="2" max="2" width="12.33203125" style="13" bestFit="1" customWidth="1"/>
    <col min="3" max="3" width="12.33203125" style="13" customWidth="1"/>
    <col min="4" max="4" width="33.33203125" style="13" customWidth="1"/>
    <col min="5" max="5" width="34.88671875" style="13" customWidth="1"/>
    <col min="6" max="7" width="12.33203125" style="13" customWidth="1"/>
    <col min="8" max="8" width="15.5546875" style="13" customWidth="1"/>
    <col min="9" max="9" width="18.5546875" style="13" bestFit="1" customWidth="1"/>
    <col min="10" max="11" width="11" style="13" customWidth="1"/>
    <col min="12" max="12" width="25.109375" style="52" bestFit="1" customWidth="1"/>
    <col min="13" max="13" width="12" style="13" bestFit="1" customWidth="1"/>
    <col min="14" max="14" width="9.5546875" style="13" bestFit="1" customWidth="1"/>
    <col min="15" max="15" width="12.5546875" style="13" bestFit="1" customWidth="1"/>
    <col min="16" max="17" width="12.5546875" style="13" customWidth="1"/>
    <col min="18" max="18" width="24.44140625" style="13" customWidth="1"/>
    <col min="19" max="19" width="12.5546875" style="13" customWidth="1"/>
    <col min="20" max="20" width="12.5546875" style="13" hidden="1" customWidth="1"/>
    <col min="21" max="21" width="14.5546875" style="13" bestFit="1" customWidth="1"/>
    <col min="22" max="22" width="18.109375" style="13" bestFit="1" customWidth="1"/>
    <col min="23" max="23" width="10.44140625" style="13" bestFit="1" customWidth="1"/>
    <col min="24" max="24" width="3.109375" style="13" customWidth="1"/>
    <col min="25" max="25" width="22.109375" style="13" bestFit="1" customWidth="1"/>
    <col min="26" max="26" width="12.33203125" style="13" bestFit="1" customWidth="1"/>
    <col min="27" max="27" width="11.6640625" style="13" customWidth="1"/>
    <col min="28" max="16384" width="8.88671875" style="13"/>
  </cols>
  <sheetData>
    <row r="1" spans="1:26" ht="15" thickBot="1"/>
    <row r="2" spans="1:26" ht="15" thickBot="1">
      <c r="D2" s="237" t="s">
        <v>162</v>
      </c>
      <c r="E2" s="238"/>
      <c r="F2" s="239" t="s">
        <v>163</v>
      </c>
      <c r="G2" s="240"/>
      <c r="H2" s="241"/>
    </row>
    <row r="3" spans="1:26" ht="69" customHeight="1">
      <c r="D3" s="12" t="s">
        <v>166</v>
      </c>
      <c r="E3" s="17" t="s">
        <v>372</v>
      </c>
      <c r="F3" s="18" t="s">
        <v>371</v>
      </c>
      <c r="G3" s="19"/>
      <c r="H3" s="20" t="s">
        <v>370</v>
      </c>
    </row>
    <row r="4" spans="1:26">
      <c r="D4" s="85" t="s">
        <v>165</v>
      </c>
      <c r="E4" s="84">
        <v>0</v>
      </c>
      <c r="F4" s="86">
        <f>SUM(R107:R118)-SUM('Production Function'!R94:R105)</f>
        <v>-435.40017799870111</v>
      </c>
      <c r="G4" s="86"/>
      <c r="H4" s="87">
        <f>F4/(SUM(R107:R118))</f>
        <v>-2.8412190464813437E-4</v>
      </c>
      <c r="M4" s="73"/>
    </row>
    <row r="5" spans="1:26">
      <c r="D5" s="85" t="s">
        <v>168</v>
      </c>
      <c r="E5" s="84">
        <v>0</v>
      </c>
      <c r="F5" s="86">
        <f>SUM(R221:R232)-SUM('Production Function'!R94:R105)</f>
        <v>0</v>
      </c>
      <c r="G5" s="86"/>
      <c r="H5" s="87">
        <f>F5/(SUM(R103:R106))</f>
        <v>0</v>
      </c>
      <c r="M5" s="73"/>
      <c r="O5" s="75"/>
    </row>
    <row r="6" spans="1:26">
      <c r="D6" s="85" t="s">
        <v>167</v>
      </c>
      <c r="E6" s="84">
        <v>0</v>
      </c>
      <c r="F6" s="86">
        <f>SUM(R330:R341)-SUM('Production Function'!R94:R105)</f>
        <v>-435.40017799870111</v>
      </c>
      <c r="G6" s="86"/>
      <c r="H6" s="87">
        <f>F6/(SUM(R103:R106))</f>
        <v>-9.0749929818569584E-4</v>
      </c>
      <c r="O6" s="74"/>
    </row>
    <row r="7" spans="1:26">
      <c r="D7" s="12"/>
      <c r="E7" s="14"/>
      <c r="H7" s="14"/>
      <c r="L7" s="53"/>
    </row>
    <row r="8" spans="1:26" ht="29.4" customHeight="1">
      <c r="D8" s="242" t="s">
        <v>164</v>
      </c>
      <c r="E8" s="243"/>
      <c r="H8" s="14"/>
    </row>
    <row r="9" spans="1:26" ht="32.4" customHeight="1">
      <c r="D9" s="242" t="s">
        <v>369</v>
      </c>
      <c r="E9" s="243"/>
      <c r="H9" s="14"/>
    </row>
    <row r="10" spans="1:26" ht="28.95" customHeight="1">
      <c r="D10" s="242" t="s">
        <v>169</v>
      </c>
      <c r="E10" s="243"/>
      <c r="H10" s="14"/>
    </row>
    <row r="11" spans="1:26" ht="15" thickBot="1">
      <c r="D11" s="83"/>
      <c r="E11" s="16"/>
      <c r="F11" s="15"/>
      <c r="G11" s="15"/>
      <c r="H11" s="16"/>
    </row>
    <row r="14" spans="1:26" s="6" customFormat="1" ht="43.2">
      <c r="A14" s="98" t="s">
        <v>5</v>
      </c>
      <c r="B14" s="98" t="s">
        <v>270</v>
      </c>
      <c r="C14" s="98" t="s">
        <v>158</v>
      </c>
      <c r="D14" s="98" t="s">
        <v>271</v>
      </c>
      <c r="E14" s="98" t="s">
        <v>158</v>
      </c>
      <c r="F14" s="98" t="s">
        <v>356</v>
      </c>
      <c r="G14" s="98" t="s">
        <v>357</v>
      </c>
      <c r="H14" s="98" t="s">
        <v>9</v>
      </c>
      <c r="I14" s="99" t="s">
        <v>54</v>
      </c>
      <c r="J14" s="100" t="s">
        <v>55</v>
      </c>
      <c r="K14" s="100" t="s">
        <v>161</v>
      </c>
      <c r="L14" s="100" t="s">
        <v>56</v>
      </c>
      <c r="M14" s="100" t="s">
        <v>57</v>
      </c>
      <c r="N14" s="100" t="s">
        <v>58</v>
      </c>
      <c r="O14" s="99" t="s">
        <v>59</v>
      </c>
      <c r="P14" s="99" t="s">
        <v>65</v>
      </c>
      <c r="Q14" s="100" t="s">
        <v>60</v>
      </c>
      <c r="R14" s="100" t="s">
        <v>61</v>
      </c>
      <c r="S14" s="100" t="s">
        <v>62</v>
      </c>
      <c r="T14" s="98"/>
      <c r="U14" s="100" t="s">
        <v>63</v>
      </c>
      <c r="V14" s="100" t="s">
        <v>64</v>
      </c>
    </row>
    <row r="15" spans="1:26">
      <c r="A15" s="44" t="s">
        <v>150</v>
      </c>
      <c r="B15" s="90">
        <v>69617</v>
      </c>
      <c r="C15" s="91"/>
      <c r="D15" s="90">
        <v>15017</v>
      </c>
      <c r="E15" s="90"/>
      <c r="F15" s="44">
        <v>69056.156000000003</v>
      </c>
      <c r="G15" s="44">
        <v>13986.598</v>
      </c>
      <c r="H15" s="92">
        <v>3.7905246019363403E-2</v>
      </c>
      <c r="I15" s="102">
        <f>'Assumptions for PF'!$B$3*'Assessment on Prod.F'!B15</f>
        <v>409624.51788493275</v>
      </c>
      <c r="J15" s="94">
        <v>0.56134099999999998</v>
      </c>
      <c r="K15" s="95">
        <f>J15/1000</f>
        <v>5.6134100000000003E-4</v>
      </c>
      <c r="L15" s="96">
        <v>0.6</v>
      </c>
      <c r="M15" s="104">
        <f>LN(F15)-L15*LN(J15)-(1-L15)*LN(I15)</f>
        <v>6.3199328530283907</v>
      </c>
      <c r="N15" s="104">
        <f>EXP(M15)</f>
        <v>555.53568865988416</v>
      </c>
      <c r="O15" s="105">
        <f t="array" ref="O15:O118">[1]!HP(N15:N118,1600)</f>
        <v>543.07880393915377</v>
      </c>
      <c r="P15" s="105">
        <f t="array" ref="P15:P118">[1]!HP(J15:J118,1600)</f>
        <v>0.561946476694278</v>
      </c>
      <c r="Q15" s="104">
        <f>LN(O15)+LN(P15)*L15+LN(I15)*(1-L15)</f>
        <v>11.120643717483659</v>
      </c>
      <c r="R15" s="106">
        <f t="shared" ref="R15:R46" si="0">EXP(Q15)</f>
        <v>67551.376284158716</v>
      </c>
      <c r="S15" s="107">
        <f t="array" ref="S15:S118">[1]!HP(F15:F118,1600)</f>
        <v>67098.306226596877</v>
      </c>
      <c r="T15" s="104"/>
      <c r="U15" s="104">
        <f t="shared" ref="U15:U46" si="1">(F15/R15-1)*100</f>
        <v>2.2276077833134567</v>
      </c>
      <c r="V15" s="104">
        <f t="shared" ref="V15:V46" si="2">(F15/S15-1)*100</f>
        <v>2.9178825569624589</v>
      </c>
      <c r="X15" s="62"/>
    </row>
    <row r="16" spans="1:26">
      <c r="A16" s="44" t="s">
        <v>151</v>
      </c>
      <c r="B16" s="90">
        <v>70967</v>
      </c>
      <c r="C16" s="91"/>
      <c r="D16" s="90">
        <v>14415</v>
      </c>
      <c r="E16" s="90"/>
      <c r="F16" s="44">
        <v>69471.797000000006</v>
      </c>
      <c r="G16" s="44">
        <v>13480.117</v>
      </c>
      <c r="H16" s="92">
        <v>3.7905246019363403E-2</v>
      </c>
      <c r="I16" s="103">
        <f>I15*(1-H16)+G16</f>
        <v>407577.7167589413</v>
      </c>
      <c r="J16" s="94">
        <v>0.56134099999999998</v>
      </c>
      <c r="K16" s="95">
        <f t="shared" ref="K16:K79" si="3">J16/1000</f>
        <v>5.6134100000000003E-4</v>
      </c>
      <c r="L16" s="96">
        <v>0.6</v>
      </c>
      <c r="M16" s="104">
        <f t="shared" ref="M16:M79" si="4">LN(F16)-L16*LN(J16)-(1-L16)*LN(I16)</f>
        <v>6.3279374158428388</v>
      </c>
      <c r="N16" s="104">
        <f t="shared" ref="N16:N79" si="5">EXP(M16)</f>
        <v>560.00035398375246</v>
      </c>
      <c r="O16" s="105">
        <v>545.97087940178642</v>
      </c>
      <c r="P16" s="105">
        <v>0.56063999567964451</v>
      </c>
      <c r="Q16" s="104">
        <f t="shared" ref="Q16:Q79" si="6">LN(O16)+LN(P16)*L16+LN(I16)*(1-L16)</f>
        <v>11.12255462464622</v>
      </c>
      <c r="R16" s="106">
        <f t="shared" si="0"/>
        <v>67680.584105699192</v>
      </c>
      <c r="S16" s="107">
        <v>67279.920686566795</v>
      </c>
      <c r="T16" s="104"/>
      <c r="U16" s="104">
        <f t="shared" si="1"/>
        <v>2.6465683149297536</v>
      </c>
      <c r="V16" s="104">
        <f t="shared" si="2"/>
        <v>3.2578461613300469</v>
      </c>
      <c r="W16" s="63"/>
      <c r="Z16" s="63"/>
    </row>
    <row r="17" spans="1:27">
      <c r="A17" s="44" t="s">
        <v>152</v>
      </c>
      <c r="B17" s="90">
        <v>70743</v>
      </c>
      <c r="C17" s="91"/>
      <c r="D17" s="90">
        <v>13210</v>
      </c>
      <c r="E17" s="90"/>
      <c r="F17" s="44">
        <v>71332.72</v>
      </c>
      <c r="G17" s="44">
        <v>17570.401000000002</v>
      </c>
      <c r="H17" s="92">
        <v>3.7905246019363403E-2</v>
      </c>
      <c r="I17" s="103">
        <f t="shared" ref="I17:I80" si="7">I16*(1-H17)+G17</f>
        <v>409698.78413318325</v>
      </c>
      <c r="J17" s="94">
        <v>0.56134099999999998</v>
      </c>
      <c r="K17" s="95">
        <f t="shared" si="3"/>
        <v>5.6134100000000003E-4</v>
      </c>
      <c r="L17" s="96">
        <v>0.6</v>
      </c>
      <c r="M17" s="104">
        <f t="shared" si="4"/>
        <v>6.3522954378263732</v>
      </c>
      <c r="N17" s="104">
        <f t="shared" si="5"/>
        <v>573.80833982995921</v>
      </c>
      <c r="O17" s="105">
        <v>548.87074041736957</v>
      </c>
      <c r="P17" s="105">
        <v>0.55933313624207714</v>
      </c>
      <c r="Q17" s="104">
        <f t="shared" si="6"/>
        <v>11.128527946819496</v>
      </c>
      <c r="R17" s="106">
        <f t="shared" si="0"/>
        <v>68086.071888350416</v>
      </c>
      <c r="S17" s="107">
        <v>67462.758802645083</v>
      </c>
      <c r="T17" s="104"/>
      <c r="U17" s="104">
        <f t="shared" si="1"/>
        <v>4.7684467933082342</v>
      </c>
      <c r="V17" s="104">
        <f t="shared" si="2"/>
        <v>5.7364407653058835</v>
      </c>
      <c r="W17" s="63"/>
      <c r="Z17" s="63"/>
    </row>
    <row r="18" spans="1:27">
      <c r="A18" s="44" t="s">
        <v>153</v>
      </c>
      <c r="B18" s="90">
        <v>68467</v>
      </c>
      <c r="C18" s="91"/>
      <c r="D18" s="90">
        <v>11403</v>
      </c>
      <c r="E18" s="90"/>
      <c r="F18" s="44">
        <v>70369.73</v>
      </c>
      <c r="G18" s="44">
        <v>8971.5385999999999</v>
      </c>
      <c r="H18" s="92">
        <v>3.7905246019363403E-2</v>
      </c>
      <c r="I18" s="103">
        <f t="shared" si="7"/>
        <v>403140.58952678088</v>
      </c>
      <c r="J18" s="94">
        <v>0.56134099999999998</v>
      </c>
      <c r="K18" s="95">
        <f t="shared" si="3"/>
        <v>5.6134100000000003E-4</v>
      </c>
      <c r="L18" s="96">
        <v>0.6</v>
      </c>
      <c r="M18" s="104">
        <f t="shared" si="4"/>
        <v>6.3451582520898206</v>
      </c>
      <c r="N18" s="104">
        <f t="shared" si="5"/>
        <v>569.72754315608722</v>
      </c>
      <c r="O18" s="105">
        <v>551.79494096046733</v>
      </c>
      <c r="P18" s="105">
        <v>0.55802595808634214</v>
      </c>
      <c r="Q18" s="104">
        <f t="shared" si="6"/>
        <v>11.125982869795244</v>
      </c>
      <c r="R18" s="106">
        <f t="shared" si="0"/>
        <v>67913.007915104157</v>
      </c>
      <c r="S18" s="107">
        <v>67649.414153636011</v>
      </c>
      <c r="T18" s="104"/>
      <c r="U18" s="104">
        <f t="shared" si="1"/>
        <v>3.6174543880708399</v>
      </c>
      <c r="V18" s="104">
        <f t="shared" si="2"/>
        <v>4.0211964588281246</v>
      </c>
      <c r="W18" s="63"/>
      <c r="Y18" s="60"/>
      <c r="Z18" s="58"/>
      <c r="AA18" s="61"/>
    </row>
    <row r="19" spans="1:27">
      <c r="A19" s="44" t="s">
        <v>154</v>
      </c>
      <c r="B19" s="90">
        <v>73289</v>
      </c>
      <c r="C19" s="91">
        <f t="shared" ref="C19:C66" si="8">B19/B15-1</f>
        <v>5.2745737391729053E-2</v>
      </c>
      <c r="D19" s="90">
        <v>17987</v>
      </c>
      <c r="E19" s="91">
        <f>D19/D15-1</f>
        <v>0.19777585403209685</v>
      </c>
      <c r="F19" s="44">
        <v>72522.183999999994</v>
      </c>
      <c r="G19" s="44">
        <v>16992.221000000001</v>
      </c>
      <c r="H19" s="92">
        <v>3.7905246019363403E-2</v>
      </c>
      <c r="I19" s="103">
        <f t="shared" si="7"/>
        <v>404851.6673003771</v>
      </c>
      <c r="J19" s="94">
        <v>0.56134099999999998</v>
      </c>
      <c r="K19" s="95">
        <f t="shared" si="3"/>
        <v>5.6134100000000003E-4</v>
      </c>
      <c r="L19" s="96">
        <v>0.6</v>
      </c>
      <c r="M19" s="104">
        <f t="shared" si="4"/>
        <v>6.3735933990669746</v>
      </c>
      <c r="N19" s="104">
        <f t="shared" si="5"/>
        <v>586.16035709772916</v>
      </c>
      <c r="O19" s="105">
        <v>554.77562100527666</v>
      </c>
      <c r="P19" s="105">
        <v>0.55671977583205434</v>
      </c>
      <c r="Q19" s="104">
        <f t="shared" si="6"/>
        <v>11.131658199030127</v>
      </c>
      <c r="R19" s="106">
        <f t="shared" si="0"/>
        <v>68299.532383686877</v>
      </c>
      <c r="S19" s="107">
        <v>67844.899044092192</v>
      </c>
      <c r="T19" s="104"/>
      <c r="U19" s="104">
        <f t="shared" si="1"/>
        <v>6.1825483556629424</v>
      </c>
      <c r="V19" s="104">
        <f t="shared" si="2"/>
        <v>6.8940849228297241</v>
      </c>
      <c r="W19" s="63"/>
      <c r="Y19" s="60"/>
      <c r="Z19" s="58"/>
      <c r="AA19" s="61"/>
    </row>
    <row r="20" spans="1:27">
      <c r="A20" s="44" t="s">
        <v>155</v>
      </c>
      <c r="B20" s="90">
        <v>68059</v>
      </c>
      <c r="C20" s="91">
        <f t="shared" si="8"/>
        <v>-4.0976792030098519E-2</v>
      </c>
      <c r="D20" s="90">
        <v>13334</v>
      </c>
      <c r="E20" s="91">
        <f t="shared" ref="E20:E83" si="9">D20/D16-1</f>
        <v>-7.4991328477280628E-2</v>
      </c>
      <c r="F20" s="44">
        <v>65834.960999999996</v>
      </c>
      <c r="G20" s="44">
        <v>12355.531999999999</v>
      </c>
      <c r="H20" s="92">
        <v>3.7905246019363403E-2</v>
      </c>
      <c r="I20" s="103">
        <f t="shared" si="7"/>
        <v>401861.19725000684</v>
      </c>
      <c r="J20" s="94">
        <v>0.56134099999999998</v>
      </c>
      <c r="K20" s="95">
        <f t="shared" si="3"/>
        <v>5.6134100000000003E-4</v>
      </c>
      <c r="L20" s="96">
        <v>0.6</v>
      </c>
      <c r="M20" s="104">
        <f t="shared" si="4"/>
        <v>6.2798175163883965</v>
      </c>
      <c r="N20" s="104">
        <f t="shared" si="5"/>
        <v>533.69126502946563</v>
      </c>
      <c r="O20" s="105">
        <v>557.85612840236672</v>
      </c>
      <c r="P20" s="105">
        <v>0.55541797600002463</v>
      </c>
      <c r="Q20" s="104">
        <f t="shared" si="6"/>
        <v>11.132825302471723</v>
      </c>
      <c r="R20" s="106">
        <f t="shared" si="0"/>
        <v>68379.291537529178</v>
      </c>
      <c r="S20" s="107">
        <v>68055.925975970211</v>
      </c>
      <c r="T20" s="104"/>
      <c r="U20" s="104">
        <f t="shared" si="1"/>
        <v>-3.7209080122346028</v>
      </c>
      <c r="V20" s="104">
        <f t="shared" si="2"/>
        <v>-3.263440977578369</v>
      </c>
      <c r="W20" s="63"/>
      <c r="Y20" s="60"/>
      <c r="Z20" s="58"/>
      <c r="AA20" s="61"/>
    </row>
    <row r="21" spans="1:27">
      <c r="A21" s="44" t="s">
        <v>156</v>
      </c>
      <c r="B21" s="90">
        <v>61742</v>
      </c>
      <c r="C21" s="91">
        <f t="shared" si="8"/>
        <v>-0.12723520348303008</v>
      </c>
      <c r="D21" s="90">
        <v>2943</v>
      </c>
      <c r="E21" s="91">
        <f t="shared" si="9"/>
        <v>-0.77721423164269487</v>
      </c>
      <c r="F21" s="44">
        <v>64534.065999999999</v>
      </c>
      <c r="G21" s="44">
        <v>7481.4564</v>
      </c>
      <c r="H21" s="92">
        <v>3.7905246019363403E-2</v>
      </c>
      <c r="I21" s="103">
        <f t="shared" si="7"/>
        <v>394110.00610260945</v>
      </c>
      <c r="J21" s="94">
        <v>0.56134099999999998</v>
      </c>
      <c r="K21" s="95">
        <f t="shared" si="3"/>
        <v>5.6134100000000003E-4</v>
      </c>
      <c r="L21" s="96">
        <v>0.6</v>
      </c>
      <c r="M21" s="104">
        <f t="shared" si="4"/>
        <v>6.2676504063417608</v>
      </c>
      <c r="N21" s="104">
        <f t="shared" si="5"/>
        <v>527.23712839383984</v>
      </c>
      <c r="O21" s="105">
        <v>561.09942646236448</v>
      </c>
      <c r="P21" s="105">
        <v>0.55412683337616886</v>
      </c>
      <c r="Q21" s="104">
        <f t="shared" si="6"/>
        <v>11.129435255240971</v>
      </c>
      <c r="R21" s="106">
        <f t="shared" si="0"/>
        <v>68147.874987756411</v>
      </c>
      <c r="S21" s="107">
        <v>68292.130754324084</v>
      </c>
      <c r="T21" s="104"/>
      <c r="U21" s="104">
        <f t="shared" si="1"/>
        <v>-5.3028931399631718</v>
      </c>
      <c r="V21" s="104">
        <f t="shared" si="2"/>
        <v>-5.5029250263744833</v>
      </c>
      <c r="W21" s="63"/>
      <c r="Y21" s="60"/>
      <c r="Z21" s="58"/>
      <c r="AA21" s="61"/>
    </row>
    <row r="22" spans="1:27">
      <c r="A22" s="44" t="s">
        <v>157</v>
      </c>
      <c r="B22" s="90">
        <v>68122</v>
      </c>
      <c r="C22" s="91">
        <f t="shared" si="8"/>
        <v>-5.0389238611301401E-3</v>
      </c>
      <c r="D22" s="90">
        <v>16458</v>
      </c>
      <c r="E22" s="91">
        <f t="shared" si="9"/>
        <v>0.44330439358063667</v>
      </c>
      <c r="F22" s="44">
        <v>66583.490999999995</v>
      </c>
      <c r="G22" s="44">
        <v>13720.753000000001</v>
      </c>
      <c r="H22" s="92">
        <v>3.7905246019363403E-2</v>
      </c>
      <c r="I22" s="103">
        <f t="shared" si="7"/>
        <v>392891.92236259725</v>
      </c>
      <c r="J22" s="94">
        <v>0.56134099999999998</v>
      </c>
      <c r="K22" s="95">
        <f t="shared" si="3"/>
        <v>5.6134100000000003E-4</v>
      </c>
      <c r="L22" s="96">
        <v>0.6</v>
      </c>
      <c r="M22" s="104">
        <f t="shared" si="4"/>
        <v>6.3001520333802885</v>
      </c>
      <c r="N22" s="104">
        <f t="shared" si="5"/>
        <v>544.65470952821272</v>
      </c>
      <c r="O22" s="105">
        <v>564.55337545628879</v>
      </c>
      <c r="P22" s="105">
        <v>0.55285632463640288</v>
      </c>
      <c r="Q22" s="104">
        <f t="shared" si="6"/>
        <v>11.132956597956964</v>
      </c>
      <c r="R22" s="106">
        <f t="shared" si="0"/>
        <v>68388.270019196207</v>
      </c>
      <c r="S22" s="107">
        <v>68561.761081097851</v>
      </c>
      <c r="T22" s="104"/>
      <c r="U22" s="104">
        <f t="shared" si="1"/>
        <v>-2.6390183853014837</v>
      </c>
      <c r="V22" s="104">
        <f t="shared" si="2"/>
        <v>-2.8853839952533766</v>
      </c>
      <c r="W22" s="63"/>
      <c r="Y22" s="60"/>
      <c r="Z22" s="58"/>
      <c r="AA22" s="61"/>
    </row>
    <row r="23" spans="1:27">
      <c r="A23" s="44" t="s">
        <v>66</v>
      </c>
      <c r="B23" s="90">
        <v>65391</v>
      </c>
      <c r="C23" s="91">
        <f t="shared" si="8"/>
        <v>-0.10776514893094458</v>
      </c>
      <c r="D23" s="90">
        <v>16199</v>
      </c>
      <c r="E23" s="91">
        <f t="shared" si="9"/>
        <v>-9.9405125924278637E-2</v>
      </c>
      <c r="F23" s="44">
        <v>67013.910999999905</v>
      </c>
      <c r="G23" s="44">
        <v>15487.614</v>
      </c>
      <c r="H23" s="92">
        <v>3.7216849625110626E-2</v>
      </c>
      <c r="I23" s="103">
        <f>I22*(1-H23)+G23</f>
        <v>393757.33676910785</v>
      </c>
      <c r="J23" s="94">
        <v>0.56134099999999998</v>
      </c>
      <c r="K23" s="95">
        <f t="shared" si="3"/>
        <v>5.6134100000000003E-4</v>
      </c>
      <c r="L23" s="96">
        <v>0.6</v>
      </c>
      <c r="M23" s="104">
        <f t="shared" si="4"/>
        <v>6.305715491872582</v>
      </c>
      <c r="N23" s="104">
        <f t="shared" si="5"/>
        <v>547.69331814616692</v>
      </c>
      <c r="O23" s="105">
        <v>568.24467171886579</v>
      </c>
      <c r="P23" s="105">
        <v>0.55162093531078249</v>
      </c>
      <c r="Q23" s="104">
        <f t="shared" si="6"/>
        <v>11.139011618848517</v>
      </c>
      <c r="R23" s="106">
        <f t="shared" si="0"/>
        <v>68803.618626143114</v>
      </c>
      <c r="S23" s="107">
        <v>68870.715867764098</v>
      </c>
      <c r="T23" s="104"/>
      <c r="U23" s="104">
        <f t="shared" si="1"/>
        <v>-2.6011824114483106</v>
      </c>
      <c r="V23" s="104">
        <f t="shared" si="2"/>
        <v>-2.6960731340870181</v>
      </c>
      <c r="W23" s="63"/>
      <c r="Y23" s="60"/>
      <c r="Z23" s="58"/>
      <c r="AA23" s="61"/>
    </row>
    <row r="24" spans="1:27">
      <c r="A24" s="44" t="s">
        <v>67</v>
      </c>
      <c r="B24" s="90">
        <v>68527</v>
      </c>
      <c r="C24" s="91">
        <f t="shared" si="8"/>
        <v>6.8763866645116245E-3</v>
      </c>
      <c r="D24" s="90">
        <v>15398</v>
      </c>
      <c r="E24" s="91">
        <f t="shared" si="9"/>
        <v>0.15479226038698068</v>
      </c>
      <c r="F24" s="44">
        <v>67813.296000000002</v>
      </c>
      <c r="G24" s="44">
        <v>14378.123</v>
      </c>
      <c r="H24" s="92">
        <v>3.7216849625110626E-2</v>
      </c>
      <c r="I24" s="103">
        <f t="shared" si="7"/>
        <v>393481.05217778793</v>
      </c>
      <c r="J24" s="94">
        <v>0.56134099999999998</v>
      </c>
      <c r="K24" s="95">
        <f t="shared" si="3"/>
        <v>5.6134100000000003E-4</v>
      </c>
      <c r="L24" s="96">
        <v>0.6</v>
      </c>
      <c r="M24" s="104">
        <f t="shared" si="4"/>
        <v>6.3178543124255508</v>
      </c>
      <c r="N24" s="104">
        <f t="shared" si="5"/>
        <v>554.38218439269872</v>
      </c>
      <c r="O24" s="105">
        <v>572.18757491861641</v>
      </c>
      <c r="P24" s="105">
        <v>0.55044045385146567</v>
      </c>
      <c r="Q24" s="104">
        <f t="shared" si="6"/>
        <v>11.144360245627905</v>
      </c>
      <c r="R24" s="106">
        <f t="shared" si="0"/>
        <v>69172.609420600202</v>
      </c>
      <c r="S24" s="107">
        <v>69223.657606994733</v>
      </c>
      <c r="T24" s="104"/>
      <c r="U24" s="104">
        <f t="shared" si="1"/>
        <v>-1.9651035749352341</v>
      </c>
      <c r="V24" s="104">
        <f t="shared" si="2"/>
        <v>-2.0373982764704701</v>
      </c>
      <c r="W24" s="63"/>
      <c r="Y24" s="60"/>
      <c r="Z24" s="58"/>
      <c r="AA24" s="61"/>
    </row>
    <row r="25" spans="1:27">
      <c r="A25" s="44" t="s">
        <v>68</v>
      </c>
      <c r="B25" s="90">
        <v>67072</v>
      </c>
      <c r="C25" s="91">
        <f t="shared" si="8"/>
        <v>8.6326973535032936E-2</v>
      </c>
      <c r="D25" s="90">
        <v>9238</v>
      </c>
      <c r="E25" s="91">
        <f t="shared" si="9"/>
        <v>2.1389738362215427</v>
      </c>
      <c r="F25" s="44">
        <v>68501.62</v>
      </c>
      <c r="G25" s="44">
        <v>13712.239</v>
      </c>
      <c r="H25" s="92">
        <v>3.7216849625110626E-2</v>
      </c>
      <c r="I25" s="103">
        <f t="shared" si="7"/>
        <v>392549.16602855688</v>
      </c>
      <c r="J25" s="94">
        <v>0.56134099999999998</v>
      </c>
      <c r="K25" s="95">
        <f t="shared" si="3"/>
        <v>5.6134100000000003E-4</v>
      </c>
      <c r="L25" s="96">
        <v>0.6</v>
      </c>
      <c r="M25" s="104">
        <f t="shared" si="4"/>
        <v>6.3289018737453944</v>
      </c>
      <c r="N25" s="104">
        <f t="shared" si="5"/>
        <v>560.54071128463477</v>
      </c>
      <c r="O25" s="105">
        <v>576.38350012807871</v>
      </c>
      <c r="P25" s="105">
        <v>0.54934074375104114</v>
      </c>
      <c r="Q25" s="104">
        <f t="shared" si="6"/>
        <v>11.149518246374106</v>
      </c>
      <c r="R25" s="106">
        <f t="shared" si="0"/>
        <v>69530.323543383623</v>
      </c>
      <c r="S25" s="107">
        <v>69624.088288419298</v>
      </c>
      <c r="T25" s="104"/>
      <c r="U25" s="104">
        <f t="shared" si="1"/>
        <v>-1.4795034611650659</v>
      </c>
      <c r="V25" s="104">
        <f t="shared" si="2"/>
        <v>-1.6121838231754726</v>
      </c>
      <c r="W25" s="63"/>
      <c r="Y25" s="60"/>
      <c r="Z25" s="58"/>
      <c r="AA25" s="61"/>
    </row>
    <row r="26" spans="1:27">
      <c r="A26" s="44" t="s">
        <v>69</v>
      </c>
      <c r="B26" s="90">
        <v>74273</v>
      </c>
      <c r="C26" s="91">
        <f t="shared" si="8"/>
        <v>9.0293884501335908E-2</v>
      </c>
      <c r="D26" s="90">
        <v>19025</v>
      </c>
      <c r="E26" s="91">
        <f t="shared" si="9"/>
        <v>0.1559727791955281</v>
      </c>
      <c r="F26" s="44">
        <v>68741.712</v>
      </c>
      <c r="G26" s="44">
        <v>16018.507</v>
      </c>
      <c r="H26" s="92">
        <v>3.7216849625110626E-2</v>
      </c>
      <c r="I26" s="103">
        <f t="shared" si="7"/>
        <v>393958.22974600946</v>
      </c>
      <c r="J26" s="94">
        <v>0.56134099999999998</v>
      </c>
      <c r="K26" s="95">
        <f t="shared" si="3"/>
        <v>5.6134100000000003E-4</v>
      </c>
      <c r="L26" s="96">
        <v>0.6</v>
      </c>
      <c r="M26" s="104">
        <f t="shared" si="4"/>
        <v>6.330967417810113</v>
      </c>
      <c r="N26" s="104">
        <f t="shared" si="5"/>
        <v>561.69972941329365</v>
      </c>
      <c r="O26" s="105">
        <v>580.82273405071192</v>
      </c>
      <c r="P26" s="105">
        <v>0.54835448134344034</v>
      </c>
      <c r="Q26" s="104">
        <f t="shared" si="6"/>
        <v>11.157545669671656</v>
      </c>
      <c r="R26" s="106">
        <f t="shared" si="0"/>
        <v>70090.719139515175</v>
      </c>
      <c r="S26" s="107">
        <v>70074.628425662959</v>
      </c>
      <c r="T26" s="104"/>
      <c r="U26" s="104">
        <f t="shared" si="1"/>
        <v>-1.9246587224051481</v>
      </c>
      <c r="V26" s="104">
        <f t="shared" si="2"/>
        <v>-1.9021384138725117</v>
      </c>
      <c r="W26" s="63"/>
      <c r="Y26" s="60"/>
      <c r="Z26" s="58"/>
      <c r="AA26" s="61"/>
    </row>
    <row r="27" spans="1:27">
      <c r="A27" s="44" t="s">
        <v>70</v>
      </c>
      <c r="B27" s="90">
        <v>64254</v>
      </c>
      <c r="C27" s="91">
        <f t="shared" si="8"/>
        <v>-1.7387713905583357E-2</v>
      </c>
      <c r="D27" s="90">
        <v>17124</v>
      </c>
      <c r="E27" s="91">
        <f t="shared" si="9"/>
        <v>5.7102290264831268E-2</v>
      </c>
      <c r="F27" s="44">
        <v>68854.225000000006</v>
      </c>
      <c r="G27" s="44">
        <v>16846.677</v>
      </c>
      <c r="H27" s="92">
        <v>3.6792945116758347E-2</v>
      </c>
      <c r="I27" s="103">
        <f t="shared" si="7"/>
        <v>396310.0232206693</v>
      </c>
      <c r="J27" s="94">
        <v>0.54510800000000004</v>
      </c>
      <c r="K27" s="95">
        <f t="shared" si="3"/>
        <v>5.4510799999999999E-4</v>
      </c>
      <c r="L27" s="96">
        <v>0.6</v>
      </c>
      <c r="M27" s="104">
        <f t="shared" si="4"/>
        <v>6.3478288425043665</v>
      </c>
      <c r="N27" s="104">
        <f t="shared" si="5"/>
        <v>571.25108554509404</v>
      </c>
      <c r="O27" s="105">
        <v>585.48566164694807</v>
      </c>
      <c r="P27" s="105">
        <v>0.5475218431227501</v>
      </c>
      <c r="Q27" s="104">
        <f t="shared" si="6"/>
        <v>11.167010768824461</v>
      </c>
      <c r="R27" s="106">
        <f t="shared" si="0"/>
        <v>70757.284322283784</v>
      </c>
      <c r="S27" s="107">
        <v>70577.1969896706</v>
      </c>
      <c r="T27" s="104"/>
      <c r="U27" s="104">
        <f t="shared" si="1"/>
        <v>-2.6895595845874531</v>
      </c>
      <c r="V27" s="104">
        <f t="shared" si="2"/>
        <v>-2.4412587395936991</v>
      </c>
      <c r="W27" s="63"/>
      <c r="Y27" s="60"/>
      <c r="Z27" s="58"/>
      <c r="AA27" s="61"/>
    </row>
    <row r="28" spans="1:27">
      <c r="A28" s="44" t="s">
        <v>71</v>
      </c>
      <c r="B28" s="90">
        <v>67256</v>
      </c>
      <c r="C28" s="91">
        <f t="shared" si="8"/>
        <v>-1.8547433858187246E-2</v>
      </c>
      <c r="D28" s="90">
        <v>14675</v>
      </c>
      <c r="E28" s="91">
        <f t="shared" si="9"/>
        <v>-4.6954149889596009E-2</v>
      </c>
      <c r="F28" s="44">
        <v>69022.683999999994</v>
      </c>
      <c r="G28" s="44">
        <v>13602.65</v>
      </c>
      <c r="H28" s="92">
        <v>3.6792945116758347E-2</v>
      </c>
      <c r="I28" s="103">
        <f t="shared" si="7"/>
        <v>395331.26028709003</v>
      </c>
      <c r="J28" s="94">
        <v>0.54510800000000004</v>
      </c>
      <c r="K28" s="95">
        <f t="shared" si="3"/>
        <v>5.4510799999999999E-4</v>
      </c>
      <c r="L28" s="96">
        <v>0.6</v>
      </c>
      <c r="M28" s="104">
        <f t="shared" si="4"/>
        <v>6.3512615560370893</v>
      </c>
      <c r="N28" s="104">
        <f t="shared" si="5"/>
        <v>573.2153964063906</v>
      </c>
      <c r="O28" s="105">
        <v>590.34071599932065</v>
      </c>
      <c r="P28" s="105">
        <v>0.54689112215721769</v>
      </c>
      <c r="Q28" s="104">
        <f t="shared" si="6"/>
        <v>11.173588260316883</v>
      </c>
      <c r="R28" s="106">
        <f t="shared" si="0"/>
        <v>71224.223719449263</v>
      </c>
      <c r="S28" s="107">
        <v>71132.879878621054</v>
      </c>
      <c r="T28" s="104"/>
      <c r="U28" s="104">
        <f t="shared" si="1"/>
        <v>-3.0909985458333455</v>
      </c>
      <c r="V28" s="104">
        <f t="shared" si="2"/>
        <v>-2.9665548227793326</v>
      </c>
      <c r="W28" s="63"/>
      <c r="Y28" s="60"/>
      <c r="Z28" s="58"/>
      <c r="AA28" s="61"/>
    </row>
    <row r="29" spans="1:27">
      <c r="A29" s="44" t="s">
        <v>72</v>
      </c>
      <c r="B29" s="90">
        <v>70098</v>
      </c>
      <c r="C29" s="91">
        <f t="shared" si="8"/>
        <v>4.5115696564885566E-2</v>
      </c>
      <c r="D29" s="90">
        <v>10828</v>
      </c>
      <c r="E29" s="91">
        <f t="shared" si="9"/>
        <v>0.17211517644511809</v>
      </c>
      <c r="F29" s="44">
        <v>70000.740000000005</v>
      </c>
      <c r="G29" s="44">
        <v>15129.257</v>
      </c>
      <c r="H29" s="92">
        <v>3.6792945116758347E-2</v>
      </c>
      <c r="I29" s="103">
        <f t="shared" si="7"/>
        <v>395915.11592440819</v>
      </c>
      <c r="J29" s="94">
        <v>0.54510800000000004</v>
      </c>
      <c r="K29" s="95">
        <f t="shared" si="3"/>
        <v>5.4510799999999999E-4</v>
      </c>
      <c r="L29" s="96">
        <v>0.6</v>
      </c>
      <c r="M29" s="104">
        <f t="shared" si="4"/>
        <v>6.3647418502788948</v>
      </c>
      <c r="N29" s="104">
        <f t="shared" si="5"/>
        <v>580.99482530412195</v>
      </c>
      <c r="O29" s="105">
        <v>595.34743358029948</v>
      </c>
      <c r="P29" s="105">
        <v>0.54650910286313858</v>
      </c>
      <c r="Q29" s="104">
        <f t="shared" si="6"/>
        <v>11.182204613618293</v>
      </c>
      <c r="R29" s="106">
        <f t="shared" si="0"/>
        <v>71840.56830278429</v>
      </c>
      <c r="S29" s="107">
        <v>71741.686133199619</v>
      </c>
      <c r="T29" s="104"/>
      <c r="U29" s="104">
        <f t="shared" si="1"/>
        <v>-2.5609879574309824</v>
      </c>
      <c r="V29" s="104">
        <f t="shared" si="2"/>
        <v>-2.4266869473450581</v>
      </c>
      <c r="W29" s="63"/>
      <c r="Y29" s="60"/>
      <c r="Z29" s="58"/>
      <c r="AA29" s="61"/>
    </row>
    <row r="30" spans="1:27">
      <c r="A30" s="44" t="s">
        <v>73</v>
      </c>
      <c r="B30" s="90">
        <v>79773</v>
      </c>
      <c r="C30" s="91">
        <f t="shared" si="8"/>
        <v>7.4051135675144319E-2</v>
      </c>
      <c r="D30" s="90">
        <v>14207</v>
      </c>
      <c r="E30" s="91">
        <f t="shared" si="9"/>
        <v>-0.25324572930354794</v>
      </c>
      <c r="F30" s="44">
        <v>71058.535999999905</v>
      </c>
      <c r="G30" s="44">
        <v>10950.313</v>
      </c>
      <c r="H30" s="92">
        <v>3.6792945116758347E-2</v>
      </c>
      <c r="I30" s="103">
        <f t="shared" si="7"/>
        <v>392298.54579330643</v>
      </c>
      <c r="J30" s="94">
        <v>0.54510800000000004</v>
      </c>
      <c r="K30" s="95">
        <f t="shared" si="3"/>
        <v>5.4510799999999999E-4</v>
      </c>
      <c r="L30" s="96">
        <v>0.6</v>
      </c>
      <c r="M30" s="104">
        <f t="shared" si="4"/>
        <v>6.3834107002162286</v>
      </c>
      <c r="N30" s="104">
        <f t="shared" si="5"/>
        <v>591.9432094008132</v>
      </c>
      <c r="O30" s="105">
        <v>600.45464753760893</v>
      </c>
      <c r="P30" s="105">
        <v>0.54642145520546015</v>
      </c>
      <c r="Q30" s="104">
        <f t="shared" si="6"/>
        <v>11.186979661285356</v>
      </c>
      <c r="R30" s="106">
        <f t="shared" si="0"/>
        <v>72184.430767319165</v>
      </c>
      <c r="S30" s="107">
        <v>72402.305921667445</v>
      </c>
      <c r="T30" s="104"/>
      <c r="U30" s="104">
        <f t="shared" si="1"/>
        <v>-1.5597473795263328</v>
      </c>
      <c r="V30" s="104">
        <f t="shared" si="2"/>
        <v>-1.8559766910205555</v>
      </c>
      <c r="W30" s="63"/>
      <c r="Y30" s="60"/>
      <c r="Z30" s="58"/>
      <c r="AA30" s="61"/>
    </row>
    <row r="31" spans="1:27">
      <c r="A31" s="44" t="s">
        <v>74</v>
      </c>
      <c r="B31" s="90">
        <v>64540</v>
      </c>
      <c r="C31" s="91">
        <f t="shared" si="8"/>
        <v>4.4510847573691059E-3</v>
      </c>
      <c r="D31" s="90">
        <v>11106</v>
      </c>
      <c r="E31" s="91">
        <f t="shared" si="9"/>
        <v>-0.35143658023826208</v>
      </c>
      <c r="F31" s="44">
        <v>70990.024999999994</v>
      </c>
      <c r="G31" s="44">
        <v>11355.884</v>
      </c>
      <c r="H31" s="92">
        <v>3.6289900541305542E-2</v>
      </c>
      <c r="I31" s="103">
        <f t="shared" si="7"/>
        <v>389417.95458396856</v>
      </c>
      <c r="J31" s="94">
        <v>0.52299499999999999</v>
      </c>
      <c r="K31" s="95">
        <f t="shared" si="3"/>
        <v>5.2299499999999995E-4</v>
      </c>
      <c r="L31" s="96">
        <v>0.6</v>
      </c>
      <c r="M31" s="104">
        <f t="shared" si="4"/>
        <v>6.4102412866358742</v>
      </c>
      <c r="N31" s="104">
        <f t="shared" si="5"/>
        <v>608.04037537972408</v>
      </c>
      <c r="O31" s="105">
        <v>605.60222063880076</v>
      </c>
      <c r="P31" s="105">
        <v>0.54667297345984012</v>
      </c>
      <c r="Q31" s="104">
        <f t="shared" si="6"/>
        <v>11.19284405458346</v>
      </c>
      <c r="R31" s="106">
        <f t="shared" si="0"/>
        <v>72608.992340599754</v>
      </c>
      <c r="S31" s="107">
        <v>73112.341320952444</v>
      </c>
      <c r="T31" s="104"/>
      <c r="U31" s="104">
        <f t="shared" si="1"/>
        <v>-2.2297063881638546</v>
      </c>
      <c r="V31" s="104">
        <f t="shared" si="2"/>
        <v>-2.9028154243286974</v>
      </c>
      <c r="W31" s="63"/>
      <c r="Y31" s="60"/>
      <c r="Z31" s="58"/>
      <c r="AA31" s="61"/>
    </row>
    <row r="32" spans="1:27">
      <c r="A32" s="44" t="s">
        <v>75</v>
      </c>
      <c r="B32" s="90">
        <v>69659</v>
      </c>
      <c r="C32" s="91">
        <f t="shared" si="8"/>
        <v>3.5729154276198383E-2</v>
      </c>
      <c r="D32" s="90">
        <v>17872</v>
      </c>
      <c r="E32" s="91">
        <f t="shared" si="9"/>
        <v>0.21785349233390128</v>
      </c>
      <c r="F32" s="44">
        <v>72289.948000000004</v>
      </c>
      <c r="G32" s="44">
        <v>16718.04</v>
      </c>
      <c r="H32" s="92">
        <v>3.6289900541305542E-2</v>
      </c>
      <c r="I32" s="103">
        <f t="shared" si="7"/>
        <v>392004.0557431177</v>
      </c>
      <c r="J32" s="94">
        <v>0.52299499999999999</v>
      </c>
      <c r="K32" s="95">
        <f t="shared" si="3"/>
        <v>5.2299499999999995E-4</v>
      </c>
      <c r="L32" s="96">
        <v>0.6</v>
      </c>
      <c r="M32" s="104">
        <f t="shared" si="4"/>
        <v>6.4257394057835411</v>
      </c>
      <c r="N32" s="104">
        <f t="shared" si="5"/>
        <v>617.53725939532399</v>
      </c>
      <c r="O32" s="105">
        <v>610.72469600259114</v>
      </c>
      <c r="P32" s="105">
        <v>0.54730763099243296</v>
      </c>
      <c r="Q32" s="104">
        <f t="shared" si="6"/>
        <v>11.204610721487143</v>
      </c>
      <c r="R32" s="106">
        <f t="shared" si="0"/>
        <v>73468.40445999139</v>
      </c>
      <c r="S32" s="107">
        <v>73868.55455178149</v>
      </c>
      <c r="T32" s="104"/>
      <c r="U32" s="104">
        <f t="shared" si="1"/>
        <v>-1.6040316495958939</v>
      </c>
      <c r="V32" s="104">
        <f t="shared" si="2"/>
        <v>-2.1370481138559327</v>
      </c>
      <c r="W32" s="63"/>
      <c r="Y32" s="60"/>
      <c r="Z32" s="58"/>
      <c r="AA32" s="61"/>
    </row>
    <row r="33" spans="1:27">
      <c r="A33" s="44" t="s">
        <v>76</v>
      </c>
      <c r="B33" s="90">
        <v>74784</v>
      </c>
      <c r="C33" s="91">
        <f t="shared" si="8"/>
        <v>6.6849268167422649E-2</v>
      </c>
      <c r="D33" s="90">
        <v>12905</v>
      </c>
      <c r="E33" s="91">
        <f t="shared" si="9"/>
        <v>0.19181751015884752</v>
      </c>
      <c r="F33" s="44">
        <v>74687.240000000005</v>
      </c>
      <c r="G33" s="44">
        <v>17118.411</v>
      </c>
      <c r="H33" s="92">
        <v>3.6289900541305542E-2</v>
      </c>
      <c r="I33" s="103">
        <f t="shared" si="7"/>
        <v>394896.67854841158</v>
      </c>
      <c r="J33" s="94">
        <v>0.52299499999999999</v>
      </c>
      <c r="K33" s="95">
        <f t="shared" si="3"/>
        <v>5.2299499999999995E-4</v>
      </c>
      <c r="L33" s="96">
        <v>0.6</v>
      </c>
      <c r="M33" s="104">
        <f t="shared" si="4"/>
        <v>6.4554227904970389</v>
      </c>
      <c r="N33" s="104">
        <f t="shared" si="5"/>
        <v>636.14262446134023</v>
      </c>
      <c r="O33" s="105">
        <v>615.75814059440927</v>
      </c>
      <c r="P33" s="105">
        <v>0.54835460243598055</v>
      </c>
      <c r="Q33" s="104">
        <f t="shared" si="6"/>
        <v>11.216906162138574</v>
      </c>
      <c r="R33" s="106">
        <f t="shared" si="0"/>
        <v>74377.307095523662</v>
      </c>
      <c r="S33" s="107">
        <v>74666.381387180852</v>
      </c>
      <c r="T33" s="104"/>
      <c r="U33" s="104">
        <f t="shared" si="1"/>
        <v>0.41670358417023046</v>
      </c>
      <c r="V33" s="104">
        <f t="shared" si="2"/>
        <v>2.7935748902829793E-2</v>
      </c>
      <c r="W33" s="63"/>
      <c r="Y33" s="60"/>
      <c r="Z33" s="58"/>
      <c r="AA33" s="61"/>
    </row>
    <row r="34" spans="1:27">
      <c r="A34" s="44" t="s">
        <v>77</v>
      </c>
      <c r="B34" s="90">
        <v>85550</v>
      </c>
      <c r="C34" s="91">
        <f t="shared" si="8"/>
        <v>7.2417986035375304E-2</v>
      </c>
      <c r="D34" s="90">
        <v>25552</v>
      </c>
      <c r="E34" s="91">
        <f t="shared" si="9"/>
        <v>0.79855001055817554</v>
      </c>
      <c r="F34" s="44">
        <v>76359.604000000007</v>
      </c>
      <c r="G34" s="44">
        <v>21950.445</v>
      </c>
      <c r="H34" s="92">
        <v>3.6289900541305542E-2</v>
      </c>
      <c r="I34" s="103">
        <f t="shared" si="7"/>
        <v>402516.36235979781</v>
      </c>
      <c r="J34" s="94">
        <v>0.52299499999999999</v>
      </c>
      <c r="K34" s="95">
        <f t="shared" si="3"/>
        <v>5.2299499999999995E-4</v>
      </c>
      <c r="L34" s="96">
        <v>0.6</v>
      </c>
      <c r="M34" s="104">
        <f t="shared" si="4"/>
        <v>6.4699227062443851</v>
      </c>
      <c r="N34" s="104">
        <f t="shared" si="5"/>
        <v>645.4338370317314</v>
      </c>
      <c r="O34" s="105">
        <v>620.64287923180473</v>
      </c>
      <c r="P34" s="105">
        <v>0.54982786702885444</v>
      </c>
      <c r="Q34" s="104">
        <f t="shared" si="6"/>
        <v>11.234062242282951</v>
      </c>
      <c r="R34" s="106">
        <f t="shared" si="0"/>
        <v>75664.338778698584</v>
      </c>
      <c r="S34" s="107">
        <v>75500.270971081904</v>
      </c>
      <c r="T34" s="104"/>
      <c r="U34" s="104">
        <f t="shared" si="1"/>
        <v>0.91888098478587477</v>
      </c>
      <c r="V34" s="104">
        <f t="shared" si="2"/>
        <v>1.1381853573045442</v>
      </c>
      <c r="W34" s="63"/>
      <c r="Y34" s="60"/>
      <c r="Z34" s="58"/>
      <c r="AA34" s="61"/>
    </row>
    <row r="35" spans="1:27" s="65" customFormat="1">
      <c r="A35" s="44" t="s">
        <v>78</v>
      </c>
      <c r="B35" s="90">
        <v>70626</v>
      </c>
      <c r="C35" s="91">
        <f t="shared" si="8"/>
        <v>9.4298109699411325E-2</v>
      </c>
      <c r="D35" s="90">
        <v>11912</v>
      </c>
      <c r="E35" s="91">
        <f t="shared" si="9"/>
        <v>7.2573383756528109E-2</v>
      </c>
      <c r="F35" s="44">
        <v>76358.054000000004</v>
      </c>
      <c r="G35" s="44">
        <v>12522.776</v>
      </c>
      <c r="H35" s="92">
        <v>3.584299236536026E-2</v>
      </c>
      <c r="I35" s="103">
        <f t="shared" si="7"/>
        <v>400611.74745680299</v>
      </c>
      <c r="J35" s="94">
        <v>0.54525299999999999</v>
      </c>
      <c r="K35" s="95">
        <f t="shared" si="3"/>
        <v>5.4525299999999999E-4</v>
      </c>
      <c r="L35" s="96">
        <v>0.6</v>
      </c>
      <c r="M35" s="104">
        <f t="shared" si="4"/>
        <v>6.4467928055038533</v>
      </c>
      <c r="N35" s="104">
        <f t="shared" si="5"/>
        <v>630.67634404350861</v>
      </c>
      <c r="O35" s="105">
        <v>625.33197703474377</v>
      </c>
      <c r="P35" s="108">
        <v>0.55172555425790359</v>
      </c>
      <c r="Q35" s="104">
        <f t="shared" si="6"/>
        <v>11.241759158155769</v>
      </c>
      <c r="R35" s="106">
        <f t="shared" si="0"/>
        <v>76248.967863051672</v>
      </c>
      <c r="S35" s="109">
        <v>76364.685484049041</v>
      </c>
      <c r="T35" s="110"/>
      <c r="U35" s="104">
        <f t="shared" si="1"/>
        <v>0.14306572273117268</v>
      </c>
      <c r="V35" s="104">
        <f t="shared" si="2"/>
        <v>-8.6839669501737049E-3</v>
      </c>
      <c r="W35" s="64"/>
      <c r="Z35" s="64"/>
    </row>
    <row r="36" spans="1:27" s="65" customFormat="1">
      <c r="A36" s="44" t="s">
        <v>79</v>
      </c>
      <c r="B36" s="90">
        <v>77089</v>
      </c>
      <c r="C36" s="91">
        <f t="shared" si="8"/>
        <v>0.10666245567694044</v>
      </c>
      <c r="D36" s="90">
        <v>24351</v>
      </c>
      <c r="E36" s="91">
        <f t="shared" si="9"/>
        <v>0.36252238137869286</v>
      </c>
      <c r="F36" s="44">
        <v>78211.346999999994</v>
      </c>
      <c r="G36" s="44">
        <v>23229.764999999999</v>
      </c>
      <c r="H36" s="92">
        <v>3.584299236536026E-2</v>
      </c>
      <c r="I36" s="103">
        <f t="shared" si="7"/>
        <v>409482.3886512352</v>
      </c>
      <c r="J36" s="94">
        <v>0.54525299999999999</v>
      </c>
      <c r="K36" s="95">
        <f t="shared" si="3"/>
        <v>5.4525299999999999E-4</v>
      </c>
      <c r="L36" s="96">
        <v>0.6</v>
      </c>
      <c r="M36" s="104">
        <f t="shared" si="4"/>
        <v>6.462013571662732</v>
      </c>
      <c r="N36" s="104">
        <f t="shared" si="5"/>
        <v>640.34914820101005</v>
      </c>
      <c r="O36" s="105">
        <v>629.79399347181777</v>
      </c>
      <c r="P36" s="108">
        <v>0.5540290230680841</v>
      </c>
      <c r="Q36" s="104">
        <f t="shared" si="6"/>
        <v>11.260129517941024</v>
      </c>
      <c r="R36" s="106">
        <f t="shared" si="0"/>
        <v>77662.633856798653</v>
      </c>
      <c r="S36" s="109">
        <v>77254.624189789727</v>
      </c>
      <c r="T36" s="110"/>
      <c r="U36" s="104">
        <f t="shared" si="1"/>
        <v>0.70653429577614002</v>
      </c>
      <c r="V36" s="104">
        <f t="shared" si="2"/>
        <v>1.2384019989015949</v>
      </c>
      <c r="W36" s="64"/>
      <c r="Z36" s="64"/>
    </row>
    <row r="37" spans="1:27" s="65" customFormat="1">
      <c r="A37" s="44" t="s">
        <v>80</v>
      </c>
      <c r="B37" s="90">
        <v>76410</v>
      </c>
      <c r="C37" s="91">
        <f t="shared" si="8"/>
        <v>2.1742618741976916E-2</v>
      </c>
      <c r="D37" s="90">
        <v>7793</v>
      </c>
      <c r="E37" s="91">
        <f t="shared" si="9"/>
        <v>-0.39612553273924833</v>
      </c>
      <c r="F37" s="44">
        <v>77748.350000000006</v>
      </c>
      <c r="G37" s="44">
        <v>11910.038</v>
      </c>
      <c r="H37" s="92">
        <v>3.584299236536026E-2</v>
      </c>
      <c r="I37" s="103">
        <f t="shared" si="7"/>
        <v>406715.35252105951</v>
      </c>
      <c r="J37" s="94">
        <v>0.54525299999999999</v>
      </c>
      <c r="K37" s="95">
        <f t="shared" si="3"/>
        <v>5.4525299999999999E-4</v>
      </c>
      <c r="L37" s="96">
        <v>0.6</v>
      </c>
      <c r="M37" s="104">
        <f t="shared" si="4"/>
        <v>6.4587882949868494</v>
      </c>
      <c r="N37" s="104">
        <f t="shared" si="5"/>
        <v>638.28717203816791</v>
      </c>
      <c r="O37" s="105">
        <v>634.00082824099843</v>
      </c>
      <c r="P37" s="108">
        <v>0.55671558705794078</v>
      </c>
      <c r="Q37" s="104">
        <f t="shared" si="6"/>
        <v>11.266977325791032</v>
      </c>
      <c r="R37" s="106">
        <f t="shared" si="0"/>
        <v>78196.277710539216</v>
      </c>
      <c r="S37" s="109">
        <v>78165.082207333908</v>
      </c>
      <c r="T37" s="110"/>
      <c r="U37" s="104">
        <f t="shared" si="1"/>
        <v>-0.57282485004889194</v>
      </c>
      <c r="V37" s="104">
        <f t="shared" si="2"/>
        <v>-0.53314369481313184</v>
      </c>
      <c r="W37" s="64"/>
      <c r="Z37" s="64"/>
    </row>
    <row r="38" spans="1:27" s="65" customFormat="1">
      <c r="A38" s="44" t="s">
        <v>81</v>
      </c>
      <c r="B38" s="90">
        <v>84322</v>
      </c>
      <c r="C38" s="91">
        <f t="shared" si="8"/>
        <v>-1.4354178842782006E-2</v>
      </c>
      <c r="D38" s="90">
        <v>17156</v>
      </c>
      <c r="E38" s="91">
        <f t="shared" si="9"/>
        <v>-0.32858484658735132</v>
      </c>
      <c r="F38" s="44">
        <v>78530.183999999994</v>
      </c>
      <c r="G38" s="44">
        <v>13409.782999999999</v>
      </c>
      <c r="H38" s="92">
        <v>3.584299236536026E-2</v>
      </c>
      <c r="I38" s="103">
        <f t="shared" si="7"/>
        <v>405547.24024577235</v>
      </c>
      <c r="J38" s="94">
        <v>0.54525299999999999</v>
      </c>
      <c r="K38" s="95">
        <f t="shared" si="3"/>
        <v>5.4525299999999999E-4</v>
      </c>
      <c r="L38" s="96">
        <v>0.6</v>
      </c>
      <c r="M38" s="104">
        <f t="shared" si="4"/>
        <v>6.4699445047276702</v>
      </c>
      <c r="N38" s="104">
        <f t="shared" si="5"/>
        <v>645.44790666378731</v>
      </c>
      <c r="O38" s="105">
        <v>637.93097801196336</v>
      </c>
      <c r="P38" s="108">
        <v>0.55975707481160086</v>
      </c>
      <c r="Q38" s="104">
        <f t="shared" si="6"/>
        <v>11.275275719752532</v>
      </c>
      <c r="R38" s="106">
        <f t="shared" si="0"/>
        <v>78847.881120912309</v>
      </c>
      <c r="S38" s="109">
        <v>79091.652607467899</v>
      </c>
      <c r="T38" s="110"/>
      <c r="U38" s="104">
        <f t="shared" si="1"/>
        <v>-0.4029241070221401</v>
      </c>
      <c r="V38" s="104">
        <f t="shared" si="2"/>
        <v>-0.7098961634478318</v>
      </c>
      <c r="W38" s="64"/>
      <c r="Z38" s="64"/>
    </row>
    <row r="39" spans="1:27" s="65" customFormat="1">
      <c r="A39" s="44" t="s">
        <v>82</v>
      </c>
      <c r="B39" s="90">
        <v>76991</v>
      </c>
      <c r="C39" s="91">
        <f t="shared" si="8"/>
        <v>9.0122617732846244E-2</v>
      </c>
      <c r="D39" s="90">
        <v>14856</v>
      </c>
      <c r="E39" s="91">
        <f t="shared" si="9"/>
        <v>0.24714573539288121</v>
      </c>
      <c r="F39" s="44">
        <v>80900.58</v>
      </c>
      <c r="G39" s="44">
        <v>15517.066999999999</v>
      </c>
      <c r="H39" s="92">
        <v>3.551970049738884E-2</v>
      </c>
      <c r="I39" s="103">
        <f t="shared" si="7"/>
        <v>406659.3907346999</v>
      </c>
      <c r="J39" s="94">
        <v>0.55970200000000003</v>
      </c>
      <c r="K39" s="95">
        <f t="shared" si="3"/>
        <v>5.5970200000000003E-4</v>
      </c>
      <c r="L39" s="96">
        <v>0.6</v>
      </c>
      <c r="M39" s="104">
        <f t="shared" si="4"/>
        <v>6.4828942457166452</v>
      </c>
      <c r="N39" s="104">
        <f t="shared" si="5"/>
        <v>653.86064369501969</v>
      </c>
      <c r="O39" s="105">
        <v>641.56561841926327</v>
      </c>
      <c r="P39" s="108">
        <v>0.56311815079628047</v>
      </c>
      <c r="Q39" s="104">
        <f t="shared" si="6"/>
        <v>11.285644474237964</v>
      </c>
      <c r="R39" s="106">
        <f t="shared" si="0"/>
        <v>79669.688639377637</v>
      </c>
      <c r="S39" s="109">
        <v>80029.66800334843</v>
      </c>
      <c r="T39" s="110"/>
      <c r="U39" s="104">
        <f t="shared" si="1"/>
        <v>1.5449933113131031</v>
      </c>
      <c r="V39" s="104">
        <f t="shared" si="2"/>
        <v>1.0882364232913444</v>
      </c>
      <c r="W39" s="64"/>
      <c r="Z39" s="64"/>
    </row>
    <row r="40" spans="1:27">
      <c r="A40" s="44" t="s">
        <v>83</v>
      </c>
      <c r="B40" s="90">
        <v>79988</v>
      </c>
      <c r="C40" s="91">
        <f t="shared" si="8"/>
        <v>3.7605884107979159E-2</v>
      </c>
      <c r="D40" s="90">
        <v>19453</v>
      </c>
      <c r="E40" s="91">
        <f t="shared" si="9"/>
        <v>-0.20114163689376208</v>
      </c>
      <c r="F40" s="44">
        <v>80464.379000000001</v>
      </c>
      <c r="G40" s="44">
        <v>18747.953000000001</v>
      </c>
      <c r="H40" s="92">
        <v>3.551970049738884E-2</v>
      </c>
      <c r="I40" s="103">
        <f t="shared" si="7"/>
        <v>410962.92397135275</v>
      </c>
      <c r="J40" s="94">
        <v>0.56629300000000005</v>
      </c>
      <c r="K40" s="95">
        <f t="shared" si="3"/>
        <v>5.6629300000000005E-4</v>
      </c>
      <c r="L40" s="96">
        <v>0.6</v>
      </c>
      <c r="M40" s="104">
        <f t="shared" si="4"/>
        <v>6.4662527566709977</v>
      </c>
      <c r="N40" s="104">
        <f t="shared" si="5"/>
        <v>643.06946860702601</v>
      </c>
      <c r="O40" s="105">
        <v>644.89062317785658</v>
      </c>
      <c r="P40" s="105">
        <v>0.56675441443243857</v>
      </c>
      <c r="Q40" s="104">
        <f t="shared" si="6"/>
        <v>11.298886517627915</v>
      </c>
      <c r="R40" s="106">
        <f t="shared" si="0"/>
        <v>80731.694156108759</v>
      </c>
      <c r="S40" s="107">
        <v>80974.110090252594</v>
      </c>
      <c r="T40" s="104"/>
      <c r="U40" s="104">
        <f t="shared" si="1"/>
        <v>-0.33111550414370861</v>
      </c>
      <c r="V40" s="104">
        <f t="shared" si="2"/>
        <v>-0.6294988480694097</v>
      </c>
      <c r="W40" s="63"/>
      <c r="Z40" s="63"/>
    </row>
    <row r="41" spans="1:27">
      <c r="A41" s="44" t="s">
        <v>84</v>
      </c>
      <c r="B41" s="90">
        <v>81024</v>
      </c>
      <c r="C41" s="91">
        <f t="shared" si="8"/>
        <v>6.0384766391833544E-2</v>
      </c>
      <c r="D41" s="90">
        <v>13147</v>
      </c>
      <c r="E41" s="91">
        <f t="shared" si="9"/>
        <v>0.68702681894007434</v>
      </c>
      <c r="F41" s="44">
        <v>81023.751000000004</v>
      </c>
      <c r="G41" s="44">
        <v>16947.458999999999</v>
      </c>
      <c r="H41" s="92">
        <v>3.551970049738884E-2</v>
      </c>
      <c r="I41" s="103">
        <f t="shared" si="7"/>
        <v>413313.10299635911</v>
      </c>
      <c r="J41" s="94">
        <v>0.57681300000000002</v>
      </c>
      <c r="K41" s="95">
        <f t="shared" si="3"/>
        <v>5.7681300000000002E-4</v>
      </c>
      <c r="L41" s="96">
        <v>0.6</v>
      </c>
      <c r="M41" s="104">
        <f t="shared" si="4"/>
        <v>6.4598556246292489</v>
      </c>
      <c r="N41" s="104">
        <f t="shared" si="5"/>
        <v>638.96879855263091</v>
      </c>
      <c r="O41" s="105">
        <v>647.89955039349888</v>
      </c>
      <c r="P41" s="105">
        <v>0.5706193300462864</v>
      </c>
      <c r="Q41" s="104">
        <f t="shared" si="6"/>
        <v>11.309900172407454</v>
      </c>
      <c r="R41" s="106">
        <f t="shared" si="0"/>
        <v>81625.759591803755</v>
      </c>
      <c r="S41" s="107">
        <v>81920.504883455375</v>
      </c>
      <c r="T41" s="111"/>
      <c r="U41" s="104">
        <f t="shared" si="1"/>
        <v>-0.73752280507316526</v>
      </c>
      <c r="V41" s="104">
        <f t="shared" si="2"/>
        <v>-1.0946635213383349</v>
      </c>
    </row>
    <row r="42" spans="1:27">
      <c r="A42" s="44" t="s">
        <v>85</v>
      </c>
      <c r="B42" s="90">
        <v>86289</v>
      </c>
      <c r="C42" s="91">
        <f t="shared" si="8"/>
        <v>2.33272455586917E-2</v>
      </c>
      <c r="D42" s="90">
        <v>19563</v>
      </c>
      <c r="E42" s="91">
        <f t="shared" si="9"/>
        <v>0.14030076941011882</v>
      </c>
      <c r="F42" s="44">
        <v>81639.581000000006</v>
      </c>
      <c r="G42" s="44">
        <v>15581.322</v>
      </c>
      <c r="H42" s="92">
        <v>3.551970049738884E-2</v>
      </c>
      <c r="I42" s="103">
        <f t="shared" si="7"/>
        <v>414213.66736628202</v>
      </c>
      <c r="J42" s="94">
        <v>0.57881000000000005</v>
      </c>
      <c r="K42" s="95">
        <f t="shared" si="3"/>
        <v>5.7881000000000002E-4</v>
      </c>
      <c r="L42" s="96">
        <v>0.6</v>
      </c>
      <c r="M42" s="104">
        <f t="shared" si="4"/>
        <v>6.4644831992036274</v>
      </c>
      <c r="N42" s="104">
        <f t="shared" si="5"/>
        <v>641.93252646572137</v>
      </c>
      <c r="O42" s="105">
        <v>650.58481995033901</v>
      </c>
      <c r="P42" s="105">
        <v>0.57466607358001487</v>
      </c>
      <c r="Q42" s="104">
        <f t="shared" si="6"/>
        <v>11.319146882062061</v>
      </c>
      <c r="R42" s="106">
        <f t="shared" si="0"/>
        <v>82384.029639802684</v>
      </c>
      <c r="S42" s="107">
        <v>82864.05981630036</v>
      </c>
      <c r="T42" s="111"/>
      <c r="U42" s="104">
        <f t="shared" si="1"/>
        <v>-0.90363222466482984</v>
      </c>
      <c r="V42" s="104">
        <f t="shared" si="2"/>
        <v>-1.4776959021979841</v>
      </c>
    </row>
    <row r="43" spans="1:27">
      <c r="A43" s="44" t="s">
        <v>86</v>
      </c>
      <c r="B43" s="90">
        <v>77365</v>
      </c>
      <c r="C43" s="91">
        <f t="shared" si="8"/>
        <v>4.857710641503532E-3</v>
      </c>
      <c r="D43" s="90">
        <v>15074</v>
      </c>
      <c r="E43" s="91">
        <f t="shared" si="9"/>
        <v>1.4674205708131494E-2</v>
      </c>
      <c r="F43" s="44">
        <v>82875.548999999999</v>
      </c>
      <c r="G43" s="44">
        <v>15739.691999999999</v>
      </c>
      <c r="H43" s="92">
        <v>3.5619623959064484E-2</v>
      </c>
      <c r="I43" s="103">
        <f t="shared" si="7"/>
        <v>415199.22429599002</v>
      </c>
      <c r="J43" s="94">
        <v>0.57930099999999995</v>
      </c>
      <c r="K43" s="95">
        <f t="shared" si="3"/>
        <v>5.7930099999999995E-4</v>
      </c>
      <c r="L43" s="96">
        <v>0.6</v>
      </c>
      <c r="M43" s="104">
        <f t="shared" si="4"/>
        <v>6.4780496996699988</v>
      </c>
      <c r="N43" s="104">
        <f t="shared" si="5"/>
        <v>650.70064625542852</v>
      </c>
      <c r="O43" s="105">
        <v>652.93327001262537</v>
      </c>
      <c r="P43" s="105">
        <v>0.57885169201953623</v>
      </c>
      <c r="Q43" s="104">
        <f t="shared" si="6"/>
        <v>11.328055043649364</v>
      </c>
      <c r="R43" s="106">
        <f t="shared" si="0"/>
        <v>83121.198422513655</v>
      </c>
      <c r="S43" s="107">
        <v>83799.421850953993</v>
      </c>
      <c r="T43" s="111"/>
      <c r="U43" s="104">
        <f t="shared" si="1"/>
        <v>-0.29553161789727111</v>
      </c>
      <c r="V43" s="104">
        <f t="shared" si="2"/>
        <v>-1.1024811753441388</v>
      </c>
    </row>
    <row r="44" spans="1:27">
      <c r="A44" s="44" t="s">
        <v>87</v>
      </c>
      <c r="B44" s="90">
        <v>83626</v>
      </c>
      <c r="C44" s="91">
        <f t="shared" si="8"/>
        <v>4.5481822273341077E-2</v>
      </c>
      <c r="D44" s="90">
        <v>12202</v>
      </c>
      <c r="E44" s="91">
        <f t="shared" si="9"/>
        <v>-0.37274456382049037</v>
      </c>
      <c r="F44" s="44">
        <v>84652.553</v>
      </c>
      <c r="G44" s="44">
        <v>12083.503000000001</v>
      </c>
      <c r="H44" s="92">
        <v>3.5619623959064484E-2</v>
      </c>
      <c r="I44" s="103">
        <f t="shared" si="7"/>
        <v>412493.4870584716</v>
      </c>
      <c r="J44" s="94">
        <v>0.58925399999999994</v>
      </c>
      <c r="K44" s="95">
        <f t="shared" si="3"/>
        <v>5.8925399999999999E-4</v>
      </c>
      <c r="L44" s="96">
        <v>0.6</v>
      </c>
      <c r="M44" s="104">
        <f t="shared" si="4"/>
        <v>6.4916590376527212</v>
      </c>
      <c r="N44" s="104">
        <f t="shared" si="5"/>
        <v>659.61678503317933</v>
      </c>
      <c r="O44" s="105">
        <v>654.92633106117853</v>
      </c>
      <c r="P44" s="105">
        <v>0.58313582230477501</v>
      </c>
      <c r="Q44" s="104">
        <f t="shared" si="6"/>
        <v>11.332911946879539</v>
      </c>
      <c r="R44" s="106">
        <f t="shared" si="0"/>
        <v>83525.892022912216</v>
      </c>
      <c r="S44" s="107">
        <v>84720.47265032251</v>
      </c>
      <c r="T44" s="111"/>
      <c r="U44" s="104">
        <f t="shared" si="1"/>
        <v>1.3488763182304409</v>
      </c>
      <c r="V44" s="104">
        <f t="shared" si="2"/>
        <v>-8.0169111665417958E-2</v>
      </c>
    </row>
    <row r="45" spans="1:27">
      <c r="A45" s="44" t="s">
        <v>88</v>
      </c>
      <c r="B45" s="90">
        <v>89439</v>
      </c>
      <c r="C45" s="91">
        <f t="shared" si="8"/>
        <v>0.10385811611374418</v>
      </c>
      <c r="D45" s="90">
        <v>20709</v>
      </c>
      <c r="E45" s="91">
        <f t="shared" si="9"/>
        <v>0.5751882558758652</v>
      </c>
      <c r="F45" s="44">
        <v>87574.404999999999</v>
      </c>
      <c r="G45" s="44">
        <v>24259.413</v>
      </c>
      <c r="H45" s="92">
        <v>3.5619623959064484E-2</v>
      </c>
      <c r="I45" s="103">
        <f t="shared" si="7"/>
        <v>422060.0371638856</v>
      </c>
      <c r="J45" s="94">
        <v>0.59832700000000005</v>
      </c>
      <c r="K45" s="95">
        <f t="shared" si="3"/>
        <v>5.9832700000000006E-4</v>
      </c>
      <c r="L45" s="96">
        <v>0.6</v>
      </c>
      <c r="M45" s="104">
        <f t="shared" si="4"/>
        <v>6.5072536244875065</v>
      </c>
      <c r="N45" s="104">
        <f t="shared" si="5"/>
        <v>669.98386130304596</v>
      </c>
      <c r="O45" s="105">
        <v>656.54403818697074</v>
      </c>
      <c r="P45" s="105">
        <v>0.58747838219314352</v>
      </c>
      <c r="Q45" s="104">
        <f t="shared" si="6"/>
        <v>11.349001414226663</v>
      </c>
      <c r="R45" s="106">
        <f t="shared" si="0"/>
        <v>84880.648565363022</v>
      </c>
      <c r="S45" s="107">
        <v>85620.516456780315</v>
      </c>
      <c r="T45" s="111"/>
      <c r="U45" s="104">
        <f t="shared" si="1"/>
        <v>3.1735813523651624</v>
      </c>
      <c r="V45" s="104">
        <f t="shared" si="2"/>
        <v>2.2820331201879318</v>
      </c>
    </row>
    <row r="46" spans="1:27">
      <c r="A46" s="44" t="s">
        <v>89</v>
      </c>
      <c r="B46" s="90">
        <v>94855</v>
      </c>
      <c r="C46" s="91">
        <f t="shared" si="8"/>
        <v>9.9271054247934254E-2</v>
      </c>
      <c r="D46" s="90">
        <v>27896</v>
      </c>
      <c r="E46" s="91">
        <f t="shared" si="9"/>
        <v>0.42595716403414619</v>
      </c>
      <c r="F46" s="44">
        <v>89283.724000000002</v>
      </c>
      <c r="G46" s="44">
        <v>23657.601999999999</v>
      </c>
      <c r="H46" s="92">
        <v>3.5619623959064484E-2</v>
      </c>
      <c r="I46" s="103">
        <f t="shared" si="7"/>
        <v>430684.01935195923</v>
      </c>
      <c r="J46" s="94">
        <v>0.59405399999999997</v>
      </c>
      <c r="K46" s="95">
        <f t="shared" si="3"/>
        <v>5.94054E-4</v>
      </c>
      <c r="L46" s="96">
        <v>0.6</v>
      </c>
      <c r="M46" s="104">
        <f t="shared" si="4"/>
        <v>6.5227935344280086</v>
      </c>
      <c r="N46" s="104">
        <f t="shared" si="5"/>
        <v>680.4766676449882</v>
      </c>
      <c r="O46" s="105">
        <v>657.76935801470677</v>
      </c>
      <c r="P46" s="105">
        <v>0.59184311330311379</v>
      </c>
      <c r="Q46" s="104">
        <f t="shared" si="6"/>
        <v>11.363398122408245</v>
      </c>
      <c r="R46" s="106">
        <f t="shared" si="0"/>
        <v>86111.489261048089</v>
      </c>
      <c r="S46" s="107">
        <v>86492.815062920359</v>
      </c>
      <c r="T46" s="111"/>
      <c r="U46" s="104">
        <f t="shared" si="1"/>
        <v>3.683869325886624</v>
      </c>
      <c r="V46" s="104">
        <f t="shared" si="2"/>
        <v>3.2267523435898893</v>
      </c>
    </row>
    <row r="47" spans="1:27">
      <c r="A47" s="44" t="s">
        <v>90</v>
      </c>
      <c r="B47" s="90">
        <v>83620</v>
      </c>
      <c r="C47" s="91">
        <f t="shared" si="8"/>
        <v>8.0850513798229162E-2</v>
      </c>
      <c r="D47" s="90">
        <v>20236</v>
      </c>
      <c r="E47" s="91">
        <f t="shared" si="9"/>
        <v>0.34244394321348026</v>
      </c>
      <c r="F47" s="44">
        <v>90018.323999999906</v>
      </c>
      <c r="G47" s="44">
        <v>20851.582999999999</v>
      </c>
      <c r="H47" s="92">
        <v>3.617728129029274E-2</v>
      </c>
      <c r="I47" s="103">
        <f t="shared" si="7"/>
        <v>435954.62543662952</v>
      </c>
      <c r="J47" s="94">
        <v>0.60059300000000004</v>
      </c>
      <c r="K47" s="95">
        <f t="shared" si="3"/>
        <v>6.0059300000000007E-4</v>
      </c>
      <c r="L47" s="96">
        <v>0.6</v>
      </c>
      <c r="M47" s="104">
        <f t="shared" si="4"/>
        <v>6.5195538169698111</v>
      </c>
      <c r="N47" s="104">
        <f t="shared" si="5"/>
        <v>678.27568271466021</v>
      </c>
      <c r="O47" s="105">
        <v>658.59365705853895</v>
      </c>
      <c r="P47" s="105">
        <v>0.59620053763928693</v>
      </c>
      <c r="Q47" s="104">
        <f t="shared" si="6"/>
        <v>11.373917200098548</v>
      </c>
      <c r="R47" s="106">
        <f t="shared" ref="R47:R78" si="10">EXP(Q47)</f>
        <v>87022.083616498538</v>
      </c>
      <c r="S47" s="107">
        <v>87331.851441675099</v>
      </c>
      <c r="T47" s="111"/>
      <c r="U47" s="104">
        <f t="shared" ref="U47:U78" si="11">(F47/R47-1)*100</f>
        <v>3.4430804905863033</v>
      </c>
      <c r="V47" s="104">
        <f t="shared" ref="V47:V78" si="12">(F47/S47-1)*100</f>
        <v>3.0761658134764058</v>
      </c>
    </row>
    <row r="48" spans="1:27">
      <c r="A48" s="44" t="s">
        <v>91</v>
      </c>
      <c r="B48" s="90">
        <v>91196</v>
      </c>
      <c r="C48" s="91">
        <f t="shared" si="8"/>
        <v>9.0522086432449189E-2</v>
      </c>
      <c r="D48" s="90">
        <v>24764</v>
      </c>
      <c r="E48" s="91">
        <f t="shared" si="9"/>
        <v>1.0295033601049006</v>
      </c>
      <c r="F48" s="44">
        <v>91726.915999999997</v>
      </c>
      <c r="G48" s="44">
        <v>24944.616000000002</v>
      </c>
      <c r="H48" s="92">
        <v>3.617728129029274E-2</v>
      </c>
      <c r="I48" s="103">
        <f t="shared" si="7"/>
        <v>445127.58832240436</v>
      </c>
      <c r="J48" s="94">
        <v>0.60712500000000003</v>
      </c>
      <c r="K48" s="95">
        <f t="shared" si="3"/>
        <v>6.0712500000000003E-4</v>
      </c>
      <c r="L48" s="96">
        <v>0.6</v>
      </c>
      <c r="M48" s="104">
        <f t="shared" si="4"/>
        <v>6.5235369903666856</v>
      </c>
      <c r="N48" s="104">
        <f t="shared" si="5"/>
        <v>680.98276017011574</v>
      </c>
      <c r="O48" s="105">
        <v>659.02249390113855</v>
      </c>
      <c r="P48" s="105">
        <v>0.60052255901044971</v>
      </c>
      <c r="Q48" s="104">
        <f t="shared" si="6"/>
        <v>11.387231118785767</v>
      </c>
      <c r="R48" s="106">
        <f t="shared" si="10"/>
        <v>88188.435691147199</v>
      </c>
      <c r="S48" s="107">
        <v>88133.852884062682</v>
      </c>
      <c r="T48" s="111"/>
      <c r="U48" s="104">
        <f t="shared" si="11"/>
        <v>4.012408521730948</v>
      </c>
      <c r="V48" s="104">
        <f t="shared" si="12"/>
        <v>4.0768251907287834</v>
      </c>
    </row>
    <row r="49" spans="1:22">
      <c r="A49" s="44" t="s">
        <v>92</v>
      </c>
      <c r="B49" s="90">
        <v>92996</v>
      </c>
      <c r="C49" s="91">
        <f t="shared" si="8"/>
        <v>3.9770122653428608E-2</v>
      </c>
      <c r="D49" s="90">
        <v>20779</v>
      </c>
      <c r="E49" s="91">
        <f t="shared" si="9"/>
        <v>3.3801728716982282E-3</v>
      </c>
      <c r="F49" s="44">
        <v>91858.523000000001</v>
      </c>
      <c r="G49" s="44">
        <v>24344.686000000002</v>
      </c>
      <c r="H49" s="92">
        <v>3.617728129029274E-2</v>
      </c>
      <c r="I49" s="103">
        <f t="shared" si="7"/>
        <v>453368.76834959508</v>
      </c>
      <c r="J49" s="94">
        <v>0.61980199999999996</v>
      </c>
      <c r="K49" s="95">
        <f t="shared" si="3"/>
        <v>6.1980199999999992E-4</v>
      </c>
      <c r="L49" s="96">
        <v>0.6</v>
      </c>
      <c r="M49" s="104">
        <f t="shared" si="4"/>
        <v>6.5052335504201597</v>
      </c>
      <c r="N49" s="104">
        <f t="shared" si="5"/>
        <v>668.63181036058609</v>
      </c>
      <c r="O49" s="105">
        <v>659.07372839121183</v>
      </c>
      <c r="P49" s="105">
        <v>0.60478382651436435</v>
      </c>
      <c r="Q49" s="104">
        <f t="shared" si="6"/>
        <v>11.398889342219382</v>
      </c>
      <c r="R49" s="106">
        <f t="shared" si="10"/>
        <v>89222.572565270326</v>
      </c>
      <c r="S49" s="107">
        <v>88896.725726450182</v>
      </c>
      <c r="T49" s="111"/>
      <c r="U49" s="104">
        <f t="shared" si="11"/>
        <v>2.9543537682702015</v>
      </c>
      <c r="V49" s="104">
        <f t="shared" si="12"/>
        <v>3.3317281928512799</v>
      </c>
    </row>
    <row r="50" spans="1:22">
      <c r="A50" s="44" t="s">
        <v>93</v>
      </c>
      <c r="B50" s="90">
        <v>96367</v>
      </c>
      <c r="C50" s="91">
        <f t="shared" si="8"/>
        <v>1.5940119129197239E-2</v>
      </c>
      <c r="D50" s="90">
        <v>27050</v>
      </c>
      <c r="E50" s="91">
        <f t="shared" si="9"/>
        <v>-3.0326928591912772E-2</v>
      </c>
      <c r="F50" s="44">
        <v>91080.034</v>
      </c>
      <c r="G50" s="44">
        <v>22653.378000000001</v>
      </c>
      <c r="H50" s="92">
        <v>3.617728129029274E-2</v>
      </c>
      <c r="I50" s="103">
        <f t="shared" si="7"/>
        <v>459620.49688877823</v>
      </c>
      <c r="J50" s="94">
        <v>0.608541</v>
      </c>
      <c r="K50" s="95">
        <f t="shared" si="3"/>
        <v>6.0854099999999999E-4</v>
      </c>
      <c r="L50" s="96">
        <v>0.6</v>
      </c>
      <c r="M50" s="104">
        <f t="shared" si="4"/>
        <v>6.502245919011699</v>
      </c>
      <c r="N50" s="104">
        <f t="shared" si="5"/>
        <v>666.63716607788376</v>
      </c>
      <c r="O50" s="105">
        <v>658.7789455438832</v>
      </c>
      <c r="P50" s="105">
        <v>0.60896311577441142</v>
      </c>
      <c r="Q50" s="104">
        <f t="shared" si="6"/>
        <v>11.408052060471009</v>
      </c>
      <c r="R50" s="106">
        <f t="shared" si="10"/>
        <v>90043.850683486191</v>
      </c>
      <c r="S50" s="107">
        <v>89620.621969652144</v>
      </c>
      <c r="T50" s="111"/>
      <c r="U50" s="104">
        <f t="shared" si="11"/>
        <v>1.150754114410435</v>
      </c>
      <c r="V50" s="104">
        <f t="shared" si="12"/>
        <v>1.6284332760400311</v>
      </c>
    </row>
    <row r="51" spans="1:22">
      <c r="A51" s="44" t="s">
        <v>94</v>
      </c>
      <c r="B51" s="90">
        <v>86104</v>
      </c>
      <c r="C51" s="91">
        <f t="shared" si="8"/>
        <v>2.9705812006696863E-2</v>
      </c>
      <c r="D51" s="90">
        <v>27871</v>
      </c>
      <c r="E51" s="91">
        <f t="shared" si="9"/>
        <v>0.37729788495750149</v>
      </c>
      <c r="F51" s="44">
        <v>90859.040999999997</v>
      </c>
      <c r="G51" s="44">
        <v>28329.859</v>
      </c>
      <c r="H51" s="92">
        <v>3.6745592951774597E-2</v>
      </c>
      <c r="I51" s="103">
        <f t="shared" si="7"/>
        <v>471061.3281978108</v>
      </c>
      <c r="J51" s="94">
        <v>0.61818899999999999</v>
      </c>
      <c r="K51" s="95">
        <f t="shared" si="3"/>
        <v>6.18189E-4</v>
      </c>
      <c r="L51" s="96">
        <v>0.6</v>
      </c>
      <c r="M51" s="104">
        <f t="shared" si="4"/>
        <v>6.4805437811761601</v>
      </c>
      <c r="N51" s="104">
        <f t="shared" si="5"/>
        <v>652.32557220987428</v>
      </c>
      <c r="O51" s="105">
        <v>658.17570417550792</v>
      </c>
      <c r="P51" s="105">
        <v>0.61304858877240009</v>
      </c>
      <c r="Q51" s="104">
        <f t="shared" si="6"/>
        <v>11.420982703135554</v>
      </c>
      <c r="R51" s="106">
        <f t="shared" si="10"/>
        <v>91215.735826458549</v>
      </c>
      <c r="S51" s="107">
        <v>90307.54473777907</v>
      </c>
      <c r="T51" s="111"/>
      <c r="U51" s="104">
        <f t="shared" si="11"/>
        <v>-0.39104527659260535</v>
      </c>
      <c r="V51" s="104">
        <f t="shared" si="12"/>
        <v>0.61068680786557916</v>
      </c>
    </row>
    <row r="52" spans="1:22">
      <c r="A52" s="44" t="s">
        <v>95</v>
      </c>
      <c r="B52" s="90">
        <v>89708</v>
      </c>
      <c r="C52" s="91">
        <f t="shared" si="8"/>
        <v>-1.6316505109873258E-2</v>
      </c>
      <c r="D52" s="90">
        <v>22763</v>
      </c>
      <c r="E52" s="91">
        <f t="shared" si="9"/>
        <v>-8.0802778226457761E-2</v>
      </c>
      <c r="F52" s="44">
        <v>91064.790999999997</v>
      </c>
      <c r="G52" s="44">
        <v>23241.116999999998</v>
      </c>
      <c r="H52" s="92">
        <v>3.6745592951774597E-2</v>
      </c>
      <c r="I52" s="103">
        <f t="shared" si="7"/>
        <v>476993.01737653173</v>
      </c>
      <c r="J52" s="94">
        <v>0.63615600000000005</v>
      </c>
      <c r="K52" s="95">
        <f t="shared" si="3"/>
        <v>6.3615600000000003E-4</v>
      </c>
      <c r="L52" s="96">
        <v>0.6</v>
      </c>
      <c r="M52" s="104">
        <f t="shared" si="4"/>
        <v>6.4606105463302264</v>
      </c>
      <c r="N52" s="104">
        <f t="shared" si="5"/>
        <v>639.45135208705574</v>
      </c>
      <c r="O52" s="105">
        <v>657.30647449027481</v>
      </c>
      <c r="P52" s="105">
        <v>0.61702814366778025</v>
      </c>
      <c r="Q52" s="104">
        <f t="shared" si="6"/>
        <v>11.428548852370893</v>
      </c>
      <c r="R52" s="106">
        <f t="shared" si="10"/>
        <v>91908.505189638017</v>
      </c>
      <c r="S52" s="107">
        <v>90960.409287460425</v>
      </c>
      <c r="T52" s="111"/>
      <c r="U52" s="104">
        <f t="shared" si="11"/>
        <v>-0.91799359362569888</v>
      </c>
      <c r="V52" s="104">
        <f t="shared" si="12"/>
        <v>0.11475510428904379</v>
      </c>
    </row>
    <row r="53" spans="1:22">
      <c r="A53" s="44" t="s">
        <v>96</v>
      </c>
      <c r="B53" s="90">
        <v>89512</v>
      </c>
      <c r="C53" s="91">
        <f t="shared" si="8"/>
        <v>-3.7463976945244948E-2</v>
      </c>
      <c r="D53" s="90">
        <v>13576</v>
      </c>
      <c r="E53" s="91">
        <f t="shared" si="9"/>
        <v>-0.34664805813561772</v>
      </c>
      <c r="F53" s="44">
        <v>90050.447</v>
      </c>
      <c r="G53" s="44">
        <v>17133.578000000001</v>
      </c>
      <c r="H53" s="92">
        <v>3.6745592951774597E-2</v>
      </c>
      <c r="I53" s="103">
        <f t="shared" si="7"/>
        <v>476599.20411917492</v>
      </c>
      <c r="J53" s="94">
        <v>0.64254100000000003</v>
      </c>
      <c r="K53" s="95">
        <f t="shared" si="3"/>
        <v>6.4254100000000005E-4</v>
      </c>
      <c r="L53" s="96">
        <v>0.6</v>
      </c>
      <c r="M53" s="104">
        <f t="shared" si="4"/>
        <v>6.4437476356195091</v>
      </c>
      <c r="N53" s="104">
        <f t="shared" si="5"/>
        <v>628.75874861761088</v>
      </c>
      <c r="O53" s="105">
        <v>656.21007035989419</v>
      </c>
      <c r="P53" s="105">
        <v>0.6208928913770192</v>
      </c>
      <c r="Q53" s="104">
        <f t="shared" si="6"/>
        <v>11.430295422634492</v>
      </c>
      <c r="R53" s="106">
        <f t="shared" si="10"/>
        <v>92069.170117224057</v>
      </c>
      <c r="S53" s="107">
        <v>91582.475560489547</v>
      </c>
      <c r="T53" s="111"/>
      <c r="U53" s="104">
        <f t="shared" si="11"/>
        <v>-2.1926157416796377</v>
      </c>
      <c r="V53" s="104">
        <f t="shared" si="12"/>
        <v>-1.6728403017208793</v>
      </c>
    </row>
    <row r="54" spans="1:22">
      <c r="A54" s="44" t="s">
        <v>97</v>
      </c>
      <c r="B54" s="90">
        <v>97549</v>
      </c>
      <c r="C54" s="91">
        <f t="shared" si="8"/>
        <v>1.2265609596646243E-2</v>
      </c>
      <c r="D54" s="90">
        <v>28070</v>
      </c>
      <c r="E54" s="91">
        <f t="shared" si="9"/>
        <v>3.7707948243992595E-2</v>
      </c>
      <c r="F54" s="44">
        <v>92857.063999999998</v>
      </c>
      <c r="G54" s="44">
        <v>23435.721000000001</v>
      </c>
      <c r="H54" s="92">
        <v>3.6745592951774597E-2</v>
      </c>
      <c r="I54" s="103">
        <f t="shared" si="7"/>
        <v>482522.00476347201</v>
      </c>
      <c r="J54" s="94">
        <v>0.62272000000000005</v>
      </c>
      <c r="K54" s="95">
        <f t="shared" si="3"/>
        <v>6.2272E-4</v>
      </c>
      <c r="L54" s="96">
        <v>0.6</v>
      </c>
      <c r="M54" s="104">
        <f t="shared" si="4"/>
        <v>6.4882989014606371</v>
      </c>
      <c r="N54" s="104">
        <f t="shared" si="5"/>
        <v>657.40410234034232</v>
      </c>
      <c r="O54" s="105">
        <v>654.91414620457454</v>
      </c>
      <c r="P54" s="105">
        <v>0.62464589772679191</v>
      </c>
      <c r="Q54" s="104">
        <f t="shared" si="6"/>
        <v>11.436874662262461</v>
      </c>
      <c r="R54" s="106">
        <f t="shared" si="10"/>
        <v>92676.912298248324</v>
      </c>
      <c r="S54" s="107">
        <v>92177.068737230147</v>
      </c>
      <c r="T54" s="111"/>
      <c r="U54" s="104">
        <f t="shared" si="11"/>
        <v>0.19438681898671373</v>
      </c>
      <c r="V54" s="104">
        <f t="shared" si="12"/>
        <v>0.73770545330349435</v>
      </c>
    </row>
    <row r="55" spans="1:22">
      <c r="A55" s="44" t="s">
        <v>98</v>
      </c>
      <c r="B55" s="90">
        <v>90878</v>
      </c>
      <c r="C55" s="91">
        <f t="shared" si="8"/>
        <v>5.5444578649075593E-2</v>
      </c>
      <c r="D55" s="90">
        <v>18500</v>
      </c>
      <c r="E55" s="91">
        <f t="shared" si="9"/>
        <v>-0.3362276201069212</v>
      </c>
      <c r="F55" s="44">
        <v>93680.103000000003</v>
      </c>
      <c r="G55" s="44">
        <v>19016.317999999999</v>
      </c>
      <c r="H55" s="92">
        <v>3.7041850388050079E-2</v>
      </c>
      <c r="I55" s="103">
        <f t="shared" si="7"/>
        <v>483664.81485408149</v>
      </c>
      <c r="J55" s="94">
        <v>0.61596200000000001</v>
      </c>
      <c r="K55" s="95">
        <f t="shared" si="3"/>
        <v>6.1596200000000006E-4</v>
      </c>
      <c r="L55" s="96">
        <v>0.6</v>
      </c>
      <c r="M55" s="104">
        <f t="shared" si="4"/>
        <v>6.5027241353584841</v>
      </c>
      <c r="N55" s="104">
        <f t="shared" si="5"/>
        <v>666.95603910714726</v>
      </c>
      <c r="O55" s="105">
        <v>653.42919936843521</v>
      </c>
      <c r="P55" s="105">
        <v>0.62830375861166277</v>
      </c>
      <c r="Q55" s="104">
        <f t="shared" si="6"/>
        <v>11.439054229878234</v>
      </c>
      <c r="R55" s="106">
        <f t="shared" si="10"/>
        <v>92879.128186571761</v>
      </c>
      <c r="S55" s="107">
        <v>92746.556480195606</v>
      </c>
      <c r="T55" s="111"/>
      <c r="U55" s="104">
        <f t="shared" si="11"/>
        <v>0.86238407817444962</v>
      </c>
      <c r="V55" s="104">
        <f t="shared" si="12"/>
        <v>1.006556529140501</v>
      </c>
    </row>
    <row r="56" spans="1:22">
      <c r="A56" s="44" t="s">
        <v>99</v>
      </c>
      <c r="B56" s="90">
        <v>91270</v>
      </c>
      <c r="C56" s="91">
        <f t="shared" si="8"/>
        <v>1.7412047977883871E-2</v>
      </c>
      <c r="D56" s="90">
        <v>20809</v>
      </c>
      <c r="E56" s="91">
        <f t="shared" si="9"/>
        <v>-8.5841057857048764E-2</v>
      </c>
      <c r="F56" s="44">
        <v>92886.164000000004</v>
      </c>
      <c r="G56" s="44">
        <v>21615.471000000001</v>
      </c>
      <c r="H56" s="92">
        <v>3.7041850388050079E-2</v>
      </c>
      <c r="I56" s="103">
        <f t="shared" si="7"/>
        <v>487364.44614429265</v>
      </c>
      <c r="J56" s="94">
        <v>0.62712900000000005</v>
      </c>
      <c r="K56" s="95">
        <f t="shared" si="3"/>
        <v>6.2712900000000003E-4</v>
      </c>
      <c r="L56" s="96">
        <v>0.6</v>
      </c>
      <c r="M56" s="104">
        <f t="shared" si="4"/>
        <v>6.4803848014774204</v>
      </c>
      <c r="N56" s="104">
        <f t="shared" si="5"/>
        <v>652.22187393010313</v>
      </c>
      <c r="O56" s="105">
        <v>651.76728341818057</v>
      </c>
      <c r="P56" s="105">
        <v>0.63188186624011689</v>
      </c>
      <c r="Q56" s="104">
        <f t="shared" si="6"/>
        <v>11.442962865877568</v>
      </c>
      <c r="R56" s="106">
        <f t="shared" si="10"/>
        <v>93242.869293294832</v>
      </c>
      <c r="S56" s="107">
        <v>93293.731448938561</v>
      </c>
      <c r="T56" s="111"/>
      <c r="U56" s="104">
        <f t="shared" si="11"/>
        <v>-0.38255503718231942</v>
      </c>
      <c r="V56" s="104">
        <f t="shared" si="12"/>
        <v>-0.43686477387993028</v>
      </c>
    </row>
    <row r="57" spans="1:22">
      <c r="A57" s="44" t="s">
        <v>100</v>
      </c>
      <c r="B57" s="90">
        <v>97119</v>
      </c>
      <c r="C57" s="91">
        <f t="shared" si="8"/>
        <v>8.4983019036553697E-2</v>
      </c>
      <c r="D57" s="90">
        <v>21342</v>
      </c>
      <c r="E57" s="91">
        <f t="shared" si="9"/>
        <v>0.57203889216264003</v>
      </c>
      <c r="F57" s="44">
        <v>95663.659</v>
      </c>
      <c r="G57" s="44">
        <v>24654.826000000001</v>
      </c>
      <c r="H57" s="92">
        <v>3.7041850388050079E-2</v>
      </c>
      <c r="I57" s="103">
        <f t="shared" si="7"/>
        <v>493966.3912457609</v>
      </c>
      <c r="J57" s="94">
        <v>0.64877300000000004</v>
      </c>
      <c r="K57" s="95">
        <f t="shared" si="3"/>
        <v>6.4877300000000006E-4</v>
      </c>
      <c r="L57" s="96">
        <v>0.6</v>
      </c>
      <c r="M57" s="104">
        <f t="shared" si="4"/>
        <v>6.4841080979809513</v>
      </c>
      <c r="N57" s="104">
        <f t="shared" si="5"/>
        <v>654.65481582421467</v>
      </c>
      <c r="O57" s="105">
        <v>649.94890619535181</v>
      </c>
      <c r="P57" s="105">
        <v>0.63538789922150718</v>
      </c>
      <c r="Q57" s="104">
        <f t="shared" si="6"/>
        <v>11.448871096917422</v>
      </c>
      <c r="R57" s="106">
        <f t="shared" si="10"/>
        <v>93795.400341167478</v>
      </c>
      <c r="S57" s="107">
        <v>93821.969769586518</v>
      </c>
      <c r="T57" s="111"/>
      <c r="U57" s="104">
        <f t="shared" si="11"/>
        <v>1.9918446448727645</v>
      </c>
      <c r="V57" s="104">
        <f t="shared" si="12"/>
        <v>1.9629615909113829</v>
      </c>
    </row>
    <row r="58" spans="1:22">
      <c r="A58" s="44" t="s">
        <v>101</v>
      </c>
      <c r="B58" s="90">
        <v>95795</v>
      </c>
      <c r="C58" s="91">
        <f t="shared" si="8"/>
        <v>-1.7980707131800444E-2</v>
      </c>
      <c r="D58" s="90">
        <v>28116</v>
      </c>
      <c r="E58" s="91">
        <f t="shared" si="9"/>
        <v>1.6387602422516245E-3</v>
      </c>
      <c r="F58" s="44">
        <v>93793.774000000005</v>
      </c>
      <c r="G58" s="44">
        <v>23370.639999999999</v>
      </c>
      <c r="H58" s="92">
        <v>3.7041850388050079E-2</v>
      </c>
      <c r="I58" s="103">
        <f t="shared" si="7"/>
        <v>499039.60208451044</v>
      </c>
      <c r="J58" s="94">
        <v>0.65955699999999995</v>
      </c>
      <c r="K58" s="95">
        <f t="shared" si="3"/>
        <v>6.5955699999999996E-4</v>
      </c>
      <c r="L58" s="96">
        <v>0.6</v>
      </c>
      <c r="M58" s="104">
        <f t="shared" si="4"/>
        <v>6.4503895926010468</v>
      </c>
      <c r="N58" s="104">
        <f t="shared" si="5"/>
        <v>632.94883696696922</v>
      </c>
      <c r="O58" s="105">
        <v>647.99485966056011</v>
      </c>
      <c r="P58" s="105">
        <v>0.63882656562378659</v>
      </c>
      <c r="Q58" s="104">
        <f t="shared" si="6"/>
        <v>11.453185691443796</v>
      </c>
      <c r="R58" s="106">
        <f t="shared" si="10"/>
        <v>94200.963753763994</v>
      </c>
      <c r="S58" s="107">
        <v>94334.392838611413</v>
      </c>
      <c r="T58" s="111"/>
      <c r="U58" s="104">
        <f t="shared" si="11"/>
        <v>-0.43225646271344287</v>
      </c>
      <c r="V58" s="104">
        <f t="shared" si="12"/>
        <v>-0.57308773856880046</v>
      </c>
    </row>
    <row r="59" spans="1:22">
      <c r="A59" s="44" t="s">
        <v>102</v>
      </c>
      <c r="B59" s="90">
        <v>91638</v>
      </c>
      <c r="C59" s="91">
        <f t="shared" si="8"/>
        <v>8.3628600981535683E-3</v>
      </c>
      <c r="D59" s="90">
        <v>28383</v>
      </c>
      <c r="E59" s="91">
        <f t="shared" si="9"/>
        <v>0.53421621621621629</v>
      </c>
      <c r="F59" s="44">
        <v>95411.384999999995</v>
      </c>
      <c r="G59" s="44">
        <v>28903.742999999999</v>
      </c>
      <c r="H59" s="92">
        <v>3.7157196551561356E-2</v>
      </c>
      <c r="I59" s="103">
        <f t="shared" si="7"/>
        <v>509400.43250284332</v>
      </c>
      <c r="J59" s="94">
        <v>0.64957500000000001</v>
      </c>
      <c r="K59" s="95">
        <f t="shared" si="3"/>
        <v>6.49575E-4</v>
      </c>
      <c r="L59" s="96">
        <v>0.6</v>
      </c>
      <c r="M59" s="104">
        <f t="shared" si="4"/>
        <v>6.4684194993684443</v>
      </c>
      <c r="N59" s="104">
        <f t="shared" si="5"/>
        <v>644.46434530581246</v>
      </c>
      <c r="O59" s="105">
        <v>645.92887696793468</v>
      </c>
      <c r="P59" s="105">
        <v>0.64221093920289452</v>
      </c>
      <c r="Q59" s="104">
        <f t="shared" si="6"/>
        <v>11.461382198263994</v>
      </c>
      <c r="R59" s="106">
        <f t="shared" si="10"/>
        <v>94976.255597570344</v>
      </c>
      <c r="S59" s="107">
        <v>94835.273108254187</v>
      </c>
      <c r="T59" s="111"/>
      <c r="U59" s="104">
        <f t="shared" si="11"/>
        <v>0.45814545929601103</v>
      </c>
      <c r="V59" s="104">
        <f t="shared" si="12"/>
        <v>0.60748693272405507</v>
      </c>
    </row>
    <row r="60" spans="1:22">
      <c r="A60" s="44" t="s">
        <v>103</v>
      </c>
      <c r="B60" s="90">
        <v>96665</v>
      </c>
      <c r="C60" s="91">
        <f t="shared" si="8"/>
        <v>5.9110331982031417E-2</v>
      </c>
      <c r="D60" s="90">
        <v>21412</v>
      </c>
      <c r="E60" s="91">
        <f t="shared" si="9"/>
        <v>2.8977846124273121E-2</v>
      </c>
      <c r="F60" s="44">
        <v>96250.036999999997</v>
      </c>
      <c r="G60" s="44">
        <v>22511.743999999999</v>
      </c>
      <c r="H60" s="92">
        <v>3.7157196551561356E-2</v>
      </c>
      <c r="I60" s="103">
        <f t="shared" si="7"/>
        <v>512984.28450888483</v>
      </c>
      <c r="J60" s="94">
        <v>0.64280899999999996</v>
      </c>
      <c r="K60" s="95">
        <f t="shared" si="3"/>
        <v>6.4280899999999994E-4</v>
      </c>
      <c r="L60" s="96">
        <v>0.6</v>
      </c>
      <c r="M60" s="104">
        <f t="shared" si="4"/>
        <v>6.4806490272696626</v>
      </c>
      <c r="N60" s="104">
        <f t="shared" si="5"/>
        <v>652.39423054098825</v>
      </c>
      <c r="O60" s="105">
        <v>643.76528750742125</v>
      </c>
      <c r="P60" s="105">
        <v>0.6455670502362556</v>
      </c>
      <c r="Q60" s="104">
        <f t="shared" si="6"/>
        <v>11.463958674505221</v>
      </c>
      <c r="R60" s="106">
        <f t="shared" si="10"/>
        <v>95221.275171612448</v>
      </c>
      <c r="S60" s="107">
        <v>95328.545143981653</v>
      </c>
      <c r="T60" s="111"/>
      <c r="U60" s="104">
        <f t="shared" si="11"/>
        <v>1.0803907283676528</v>
      </c>
      <c r="V60" s="104">
        <f t="shared" si="12"/>
        <v>0.96664839962317117</v>
      </c>
    </row>
    <row r="61" spans="1:22">
      <c r="A61" s="44" t="s">
        <v>104</v>
      </c>
      <c r="B61" s="90">
        <v>96417</v>
      </c>
      <c r="C61" s="91">
        <f t="shared" si="8"/>
        <v>-7.2282457603558559E-3</v>
      </c>
      <c r="D61" s="90">
        <v>24394</v>
      </c>
      <c r="E61" s="91">
        <f t="shared" si="9"/>
        <v>0.14300440446068774</v>
      </c>
      <c r="F61" s="44">
        <v>95410.034</v>
      </c>
      <c r="G61" s="44">
        <v>27518.837</v>
      </c>
      <c r="H61" s="92">
        <v>3.7157196551561356E-2</v>
      </c>
      <c r="I61" s="103">
        <f t="shared" si="7"/>
        <v>521442.06362152612</v>
      </c>
      <c r="J61" s="94">
        <v>0.648617</v>
      </c>
      <c r="K61" s="95">
        <f t="shared" si="3"/>
        <v>6.4861699999999999E-4</v>
      </c>
      <c r="L61" s="96">
        <v>0.6</v>
      </c>
      <c r="M61" s="104">
        <f t="shared" si="4"/>
        <v>6.459945374551725</v>
      </c>
      <c r="N61" s="104">
        <f t="shared" si="5"/>
        <v>639.02614852630506</v>
      </c>
      <c r="O61" s="105">
        <v>641.51750533667666</v>
      </c>
      <c r="P61" s="105">
        <v>0.64892553153929255</v>
      </c>
      <c r="Q61" s="104">
        <f t="shared" si="6"/>
        <v>11.470115465106735</v>
      </c>
      <c r="R61" s="106">
        <f t="shared" si="10"/>
        <v>95809.341065332526</v>
      </c>
      <c r="S61" s="107">
        <v>95818.50358119297</v>
      </c>
      <c r="T61" s="111"/>
      <c r="U61" s="104">
        <f t="shared" si="11"/>
        <v>-0.41677258281135332</v>
      </c>
      <c r="V61" s="104">
        <f t="shared" si="12"/>
        <v>-0.42629509533808063</v>
      </c>
    </row>
    <row r="62" spans="1:22">
      <c r="A62" s="44" t="s">
        <v>105</v>
      </c>
      <c r="B62" s="90">
        <v>99117</v>
      </c>
      <c r="C62" s="91">
        <f t="shared" si="8"/>
        <v>3.4678219113732478E-2</v>
      </c>
      <c r="D62" s="90">
        <v>30492</v>
      </c>
      <c r="E62" s="91">
        <f t="shared" si="9"/>
        <v>8.4507042253521236E-2</v>
      </c>
      <c r="F62" s="44">
        <v>96667.978000000003</v>
      </c>
      <c r="G62" s="44">
        <v>25582.664000000001</v>
      </c>
      <c r="H62" s="92">
        <v>3.7157196551561356E-2</v>
      </c>
      <c r="I62" s="103">
        <f t="shared" si="7"/>
        <v>527649.40237328934</v>
      </c>
      <c r="J62" s="94">
        <v>0.63934000000000002</v>
      </c>
      <c r="K62" s="95">
        <f t="shared" si="3"/>
        <v>6.3934000000000007E-4</v>
      </c>
      <c r="L62" s="96">
        <v>0.6</v>
      </c>
      <c r="M62" s="104">
        <f t="shared" si="4"/>
        <v>6.4769538769676966</v>
      </c>
      <c r="N62" s="104">
        <f t="shared" si="5"/>
        <v>649.98798426177029</v>
      </c>
      <c r="O62" s="105">
        <v>639.20433760275387</v>
      </c>
      <c r="P62" s="105">
        <v>0.65231529214603057</v>
      </c>
      <c r="Q62" s="104">
        <f t="shared" si="6"/>
        <v>11.474362758789425</v>
      </c>
      <c r="R62" s="106">
        <f t="shared" si="10"/>
        <v>96217.136875630487</v>
      </c>
      <c r="S62" s="107">
        <v>96310.018987697316</v>
      </c>
      <c r="T62" s="111"/>
      <c r="U62" s="104">
        <f t="shared" si="11"/>
        <v>0.46856634795968688</v>
      </c>
      <c r="V62" s="104">
        <f t="shared" si="12"/>
        <v>0.3716737013087057</v>
      </c>
    </row>
    <row r="63" spans="1:22">
      <c r="A63" s="44" t="s">
        <v>106</v>
      </c>
      <c r="B63" s="90">
        <v>90713</v>
      </c>
      <c r="C63" s="91">
        <f t="shared" si="8"/>
        <v>-1.0094065780571371E-2</v>
      </c>
      <c r="D63" s="90">
        <v>28273</v>
      </c>
      <c r="E63" s="91">
        <f t="shared" si="9"/>
        <v>-3.875559313673671E-3</v>
      </c>
      <c r="F63" s="44">
        <v>95284.297000000006</v>
      </c>
      <c r="G63" s="44">
        <v>28994.116000000002</v>
      </c>
      <c r="H63" s="92">
        <v>3.7281032651662827E-2</v>
      </c>
      <c r="I63" s="103">
        <f t="shared" si="7"/>
        <v>536972.20377478038</v>
      </c>
      <c r="J63" s="94">
        <v>0.64366800000000002</v>
      </c>
      <c r="K63" s="95">
        <f t="shared" si="3"/>
        <v>6.4366800000000002E-4</v>
      </c>
      <c r="L63" s="96">
        <v>0.6</v>
      </c>
      <c r="M63" s="104">
        <f t="shared" si="4"/>
        <v>6.4514829858865834</v>
      </c>
      <c r="N63" s="104">
        <f t="shared" si="5"/>
        <v>633.64127746130578</v>
      </c>
      <c r="O63" s="105">
        <v>636.84303435469917</v>
      </c>
      <c r="P63" s="105">
        <v>0.65576504825828275</v>
      </c>
      <c r="Q63" s="104">
        <f t="shared" si="6"/>
        <v>11.480832227957752</v>
      </c>
      <c r="R63" s="106">
        <f t="shared" si="10"/>
        <v>96841.628562847152</v>
      </c>
      <c r="S63" s="107">
        <v>96807.706637815601</v>
      </c>
      <c r="T63" s="111"/>
      <c r="U63" s="104">
        <f t="shared" si="11"/>
        <v>-1.6081220297080034</v>
      </c>
      <c r="V63" s="104">
        <f t="shared" si="12"/>
        <v>-1.5736450027838078</v>
      </c>
    </row>
    <row r="64" spans="1:22">
      <c r="A64" s="44" t="s">
        <v>107</v>
      </c>
      <c r="B64" s="90">
        <v>97105</v>
      </c>
      <c r="C64" s="91">
        <f t="shared" si="8"/>
        <v>4.5518026172866044E-3</v>
      </c>
      <c r="D64" s="90">
        <v>27353</v>
      </c>
      <c r="E64" s="91">
        <f t="shared" si="9"/>
        <v>0.27746123668970668</v>
      </c>
      <c r="F64" s="44">
        <v>95894.523000000001</v>
      </c>
      <c r="G64" s="44">
        <v>28553.921999999999</v>
      </c>
      <c r="H64" s="92">
        <v>3.7281032651662827E-2</v>
      </c>
      <c r="I64" s="103">
        <f t="shared" si="7"/>
        <v>545507.2475128175</v>
      </c>
      <c r="J64" s="94">
        <v>0.6482</v>
      </c>
      <c r="K64" s="95">
        <f t="shared" si="3"/>
        <v>6.4820000000000003E-4</v>
      </c>
      <c r="L64" s="96">
        <v>0.6</v>
      </c>
      <c r="M64" s="104">
        <f t="shared" si="4"/>
        <v>6.4473491925641921</v>
      </c>
      <c r="N64" s="104">
        <f t="shared" si="5"/>
        <v>631.02734183685664</v>
      </c>
      <c r="O64" s="105">
        <v>634.45758542072076</v>
      </c>
      <c r="P64" s="105">
        <v>0.65929540652027085</v>
      </c>
      <c r="Q64" s="104">
        <f t="shared" si="6"/>
        <v>11.486608837681434</v>
      </c>
      <c r="R64" s="106">
        <f t="shared" si="10"/>
        <v>97402.663736572489</v>
      </c>
      <c r="S64" s="107">
        <v>97316.405530251446</v>
      </c>
      <c r="T64" s="111"/>
      <c r="U64" s="104">
        <f t="shared" si="11"/>
        <v>-1.5483567684055233</v>
      </c>
      <c r="V64" s="104">
        <f t="shared" si="12"/>
        <v>-1.4610923230301998</v>
      </c>
    </row>
    <row r="65" spans="1:22">
      <c r="A65" s="44" t="s">
        <v>108</v>
      </c>
      <c r="B65" s="90">
        <v>96710</v>
      </c>
      <c r="C65" s="91">
        <f t="shared" si="8"/>
        <v>3.0388831845007402E-3</v>
      </c>
      <c r="D65" s="90">
        <v>26566</v>
      </c>
      <c r="E65" s="91">
        <f t="shared" si="9"/>
        <v>8.9038288103632013E-2</v>
      </c>
      <c r="F65" s="44">
        <v>95829.338000000003</v>
      </c>
      <c r="G65" s="44">
        <v>29578.044999999998</v>
      </c>
      <c r="H65" s="92">
        <v>3.7281032651662827E-2</v>
      </c>
      <c r="I65" s="103">
        <f t="shared" si="7"/>
        <v>554748.21900657343</v>
      </c>
      <c r="J65" s="94">
        <v>0.65249800000000002</v>
      </c>
      <c r="K65" s="95">
        <f t="shared" si="3"/>
        <v>6.5249800000000005E-4</v>
      </c>
      <c r="L65" s="96">
        <v>0.6</v>
      </c>
      <c r="M65" s="104">
        <f t="shared" si="4"/>
        <v>6.4359846300634809</v>
      </c>
      <c r="N65" s="104">
        <f t="shared" si="5"/>
        <v>623.89658786700181</v>
      </c>
      <c r="O65" s="105">
        <v>632.06997953096857</v>
      </c>
      <c r="P65" s="105">
        <v>0.66291941292105527</v>
      </c>
      <c r="Q65" s="104">
        <f t="shared" si="6"/>
        <v>11.492846860067989</v>
      </c>
      <c r="R65" s="106">
        <f t="shared" si="10"/>
        <v>98012.162791397684</v>
      </c>
      <c r="S65" s="107">
        <v>97840.002532684812</v>
      </c>
      <c r="T65" s="111"/>
      <c r="U65" s="104">
        <f t="shared" si="11"/>
        <v>-2.2270958309974831</v>
      </c>
      <c r="V65" s="104">
        <f t="shared" si="12"/>
        <v>-2.0550536392444529</v>
      </c>
    </row>
    <row r="66" spans="1:22">
      <c r="A66" s="44" t="s">
        <v>109</v>
      </c>
      <c r="B66" s="90">
        <v>97558</v>
      </c>
      <c r="C66" s="91">
        <f t="shared" si="8"/>
        <v>-1.5728886063944625E-2</v>
      </c>
      <c r="D66" s="90">
        <v>33148</v>
      </c>
      <c r="E66" s="91">
        <f t="shared" si="9"/>
        <v>8.7104814377541695E-2</v>
      </c>
      <c r="F66" s="44">
        <v>96623.188999999998</v>
      </c>
      <c r="G66" s="44">
        <v>27974.598999999998</v>
      </c>
      <c r="H66" s="92">
        <v>3.7281032651662827E-2</v>
      </c>
      <c r="I66" s="103">
        <f t="shared" si="7"/>
        <v>562041.23154033767</v>
      </c>
      <c r="J66" s="94">
        <v>0.65784900000000002</v>
      </c>
      <c r="K66" s="95">
        <f t="shared" si="3"/>
        <v>6.5784900000000006E-4</v>
      </c>
      <c r="L66" s="96">
        <v>0.6</v>
      </c>
      <c r="M66" s="104">
        <f t="shared" si="4"/>
        <v>6.4341097607515847</v>
      </c>
      <c r="N66" s="104">
        <f t="shared" si="5"/>
        <v>622.72795915599079</v>
      </c>
      <c r="O66" s="105">
        <v>629.70006151335235</v>
      </c>
      <c r="P66" s="105">
        <v>0.66664317882062107</v>
      </c>
      <c r="Q66" s="104">
        <f t="shared" si="6"/>
        <v>11.497675605648654</v>
      </c>
      <c r="R66" s="106">
        <f t="shared" si="10"/>
        <v>98486.583094970949</v>
      </c>
      <c r="S66" s="107">
        <v>98381.49583621425</v>
      </c>
      <c r="T66" s="111"/>
      <c r="U66" s="104">
        <f t="shared" si="11"/>
        <v>-1.8920283722038245</v>
      </c>
      <c r="V66" s="104">
        <f t="shared" si="12"/>
        <v>-1.7872332812884695</v>
      </c>
    </row>
    <row r="67" spans="1:22">
      <c r="A67" s="44" t="s">
        <v>110</v>
      </c>
      <c r="B67" s="90">
        <v>93617</v>
      </c>
      <c r="C67" s="91">
        <f>B67/B63-1</f>
        <v>3.2013052153495147E-2</v>
      </c>
      <c r="D67" s="90">
        <v>21986</v>
      </c>
      <c r="E67" s="91">
        <f t="shared" si="9"/>
        <v>-0.22236762989424541</v>
      </c>
      <c r="F67" s="44">
        <v>97582.33</v>
      </c>
      <c r="G67" s="44">
        <v>22963.621999999999</v>
      </c>
      <c r="H67" s="92">
        <v>3.7492867559194565E-2</v>
      </c>
      <c r="I67" s="103">
        <f t="shared" si="7"/>
        <v>563932.3160833891</v>
      </c>
      <c r="J67" s="94">
        <v>0.66895700000000002</v>
      </c>
      <c r="K67" s="95">
        <f t="shared" si="3"/>
        <v>6.6895699999999997E-4</v>
      </c>
      <c r="L67" s="96">
        <v>0.6</v>
      </c>
      <c r="M67" s="104">
        <f t="shared" si="4"/>
        <v>6.4325972019690063</v>
      </c>
      <c r="N67" s="104">
        <f t="shared" si="5"/>
        <v>621.7867585023123</v>
      </c>
      <c r="O67" s="105">
        <v>627.36256782599207</v>
      </c>
      <c r="P67" s="105">
        <v>0.67046630219587766</v>
      </c>
      <c r="Q67" s="104">
        <f t="shared" si="6"/>
        <v>11.49873133698701</v>
      </c>
      <c r="R67" s="106">
        <f t="shared" si="10"/>
        <v>98590.613371501051</v>
      </c>
      <c r="S67" s="107">
        <v>98942.626966605385</v>
      </c>
      <c r="T67" s="111"/>
      <c r="U67" s="104">
        <f t="shared" si="11"/>
        <v>-1.0226971280741681</v>
      </c>
      <c r="V67" s="104">
        <f t="shared" si="12"/>
        <v>-1.3748340915432755</v>
      </c>
    </row>
    <row r="68" spans="1:22">
      <c r="A68" s="44" t="s">
        <v>111</v>
      </c>
      <c r="B68" s="90">
        <v>99844</v>
      </c>
      <c r="C68" s="91">
        <f t="shared" ref="C68:C106" si="13">B68/B64-1</f>
        <v>2.8206580505638179E-2</v>
      </c>
      <c r="D68" s="90">
        <v>29673</v>
      </c>
      <c r="E68" s="91">
        <f t="shared" si="9"/>
        <v>8.4817021898877742E-2</v>
      </c>
      <c r="F68" s="44">
        <v>97973.468999999997</v>
      </c>
      <c r="G68" s="44">
        <v>30995.16</v>
      </c>
      <c r="H68" s="92">
        <v>3.7492867559194565E-2</v>
      </c>
      <c r="I68" s="103">
        <f t="shared" si="7"/>
        <v>573784.03644412477</v>
      </c>
      <c r="J68" s="94">
        <v>0.67846700000000004</v>
      </c>
      <c r="K68" s="95">
        <f t="shared" si="3"/>
        <v>6.7846700000000009E-4</v>
      </c>
      <c r="L68" s="96">
        <v>0.6</v>
      </c>
      <c r="M68" s="104">
        <f t="shared" si="4"/>
        <v>6.4212003145132748</v>
      </c>
      <c r="N68" s="104">
        <f t="shared" si="5"/>
        <v>614.74055346566468</v>
      </c>
      <c r="O68" s="105">
        <v>625.06787736303443</v>
      </c>
      <c r="P68" s="105">
        <v>0.67438288466197183</v>
      </c>
      <c r="Q68" s="104">
        <f t="shared" si="6"/>
        <v>11.505489241431627</v>
      </c>
      <c r="R68" s="106">
        <f t="shared" si="10"/>
        <v>99259.13567648796</v>
      </c>
      <c r="S68" s="107">
        <v>99524.038507851248</v>
      </c>
      <c r="T68" s="111"/>
      <c r="U68" s="104">
        <f t="shared" si="11"/>
        <v>-1.2952628165918134</v>
      </c>
      <c r="V68" s="104">
        <f t="shared" si="12"/>
        <v>-1.5579849161054038</v>
      </c>
    </row>
    <row r="69" spans="1:22">
      <c r="A69" s="44" t="s">
        <v>112</v>
      </c>
      <c r="B69" s="90">
        <v>101440</v>
      </c>
      <c r="C69" s="91">
        <f t="shared" si="13"/>
        <v>4.8909109709440513E-2</v>
      </c>
      <c r="D69" s="90">
        <v>28685</v>
      </c>
      <c r="E69" s="91">
        <f t="shared" si="9"/>
        <v>7.976360761876089E-2</v>
      </c>
      <c r="F69" s="44">
        <v>99527.517999999996</v>
      </c>
      <c r="G69" s="44">
        <v>31693.036</v>
      </c>
      <c r="H69" s="92">
        <v>3.7492867559194565E-2</v>
      </c>
      <c r="I69" s="103">
        <f t="shared" si="7"/>
        <v>583964.26355814515</v>
      </c>
      <c r="J69" s="94">
        <v>0.68244800000000005</v>
      </c>
      <c r="K69" s="95">
        <f t="shared" si="3"/>
        <v>6.824480000000001E-4</v>
      </c>
      <c r="L69" s="96">
        <v>0.6</v>
      </c>
      <c r="M69" s="104">
        <f t="shared" si="4"/>
        <v>6.4263927879451801</v>
      </c>
      <c r="N69" s="104">
        <f t="shared" si="5"/>
        <v>617.94087906934885</v>
      </c>
      <c r="O69" s="105">
        <v>622.82288413779895</v>
      </c>
      <c r="P69" s="105">
        <v>0.6783860845201779</v>
      </c>
      <c r="Q69" s="104">
        <f t="shared" si="6"/>
        <v>11.512476986052407</v>
      </c>
      <c r="R69" s="106">
        <f t="shared" si="10"/>
        <v>99955.162163381639</v>
      </c>
      <c r="S69" s="107">
        <v>100125.52285834074</v>
      </c>
      <c r="T69" s="111"/>
      <c r="U69" s="104">
        <f t="shared" si="11"/>
        <v>-0.42783599578642972</v>
      </c>
      <c r="V69" s="104">
        <f t="shared" si="12"/>
        <v>-0.5972551665840653</v>
      </c>
    </row>
    <row r="70" spans="1:22">
      <c r="A70" s="44" t="s">
        <v>113</v>
      </c>
      <c r="B70" s="90">
        <v>98362</v>
      </c>
      <c r="C70" s="91">
        <f t="shared" si="13"/>
        <v>8.2412513581664459E-3</v>
      </c>
      <c r="D70" s="90">
        <v>35564</v>
      </c>
      <c r="E70" s="91">
        <f t="shared" si="9"/>
        <v>7.2885241945215506E-2</v>
      </c>
      <c r="F70" s="44">
        <v>99098.94</v>
      </c>
      <c r="G70" s="44">
        <v>30117.717000000001</v>
      </c>
      <c r="H70" s="92">
        <v>3.7492867559194565E-2</v>
      </c>
      <c r="I70" s="103">
        <f t="shared" si="7"/>
        <v>592187.48576525692</v>
      </c>
      <c r="J70" s="94">
        <v>0.68547899999999995</v>
      </c>
      <c r="K70" s="95">
        <f t="shared" si="3"/>
        <v>6.8547899999999991E-4</v>
      </c>
      <c r="L70" s="96">
        <v>0.6</v>
      </c>
      <c r="M70" s="104">
        <f t="shared" si="4"/>
        <v>6.4138250479456982</v>
      </c>
      <c r="N70" s="104">
        <f t="shared" si="5"/>
        <v>610.22335625662652</v>
      </c>
      <c r="O70" s="105">
        <v>620.6280275861692</v>
      </c>
      <c r="P70" s="105">
        <v>0.68247161264385647</v>
      </c>
      <c r="Q70" s="104">
        <f t="shared" si="6"/>
        <v>11.518142730545264</v>
      </c>
      <c r="R70" s="106">
        <f t="shared" si="10"/>
        <v>100523.08992048533</v>
      </c>
      <c r="S70" s="107">
        <v>100745.90331052036</v>
      </c>
      <c r="T70" s="111"/>
      <c r="U70" s="104">
        <f t="shared" si="11"/>
        <v>-1.41673910104817</v>
      </c>
      <c r="V70" s="104">
        <f t="shared" si="12"/>
        <v>-1.6347695106212479</v>
      </c>
    </row>
    <row r="71" spans="1:22">
      <c r="A71" s="44" t="s">
        <v>114</v>
      </c>
      <c r="B71" s="90">
        <v>96746</v>
      </c>
      <c r="C71" s="91">
        <f t="shared" si="13"/>
        <v>3.3423416687140106E-2</v>
      </c>
      <c r="D71" s="90">
        <v>30605</v>
      </c>
      <c r="E71" s="91">
        <f t="shared" si="9"/>
        <v>0.39202219594287269</v>
      </c>
      <c r="F71" s="44">
        <v>100616.89</v>
      </c>
      <c r="G71" s="44">
        <v>31561.921999999999</v>
      </c>
      <c r="H71" s="92">
        <v>3.7774782627820969E-2</v>
      </c>
      <c r="I71" s="103">
        <f t="shared" si="7"/>
        <v>601379.65421555855</v>
      </c>
      <c r="J71" s="94">
        <v>0.68627700000000003</v>
      </c>
      <c r="K71" s="95">
        <f t="shared" si="3"/>
        <v>6.86277E-4</v>
      </c>
      <c r="L71" s="96">
        <v>0.6</v>
      </c>
      <c r="M71" s="104">
        <f t="shared" si="4"/>
        <v>6.422167093496812</v>
      </c>
      <c r="N71" s="104">
        <f t="shared" si="5"/>
        <v>615.33515909288235</v>
      </c>
      <c r="O71" s="105">
        <v>618.48069589086106</v>
      </c>
      <c r="P71" s="105">
        <v>0.68663771860354317</v>
      </c>
      <c r="Q71" s="104">
        <f t="shared" si="6"/>
        <v>11.524489589002162</v>
      </c>
      <c r="R71" s="106">
        <f t="shared" si="10"/>
        <v>101163.12470041717</v>
      </c>
      <c r="S71" s="107">
        <v>101383.62940380011</v>
      </c>
      <c r="T71" s="111"/>
      <c r="U71" s="104">
        <f t="shared" si="11"/>
        <v>-0.53995435790935575</v>
      </c>
      <c r="V71" s="104">
        <f t="shared" si="12"/>
        <v>-0.7562753556062507</v>
      </c>
    </row>
    <row r="72" spans="1:22">
      <c r="A72" s="44" t="s">
        <v>115</v>
      </c>
      <c r="B72" s="90">
        <v>104229</v>
      </c>
      <c r="C72" s="91">
        <f t="shared" si="13"/>
        <v>4.3918512880092964E-2</v>
      </c>
      <c r="D72" s="90">
        <v>33132</v>
      </c>
      <c r="E72" s="91">
        <f t="shared" si="9"/>
        <v>0.11657061975533312</v>
      </c>
      <c r="F72" s="44">
        <v>101936.62</v>
      </c>
      <c r="G72" s="44">
        <v>34716.559999999998</v>
      </c>
      <c r="H72" s="92">
        <v>3.7774782627820969E-2</v>
      </c>
      <c r="I72" s="103">
        <f t="shared" si="7"/>
        <v>613379.22850077157</v>
      </c>
      <c r="J72" s="94">
        <v>0.68746499999999999</v>
      </c>
      <c r="K72" s="95">
        <f t="shared" si="3"/>
        <v>6.8746499999999995E-4</v>
      </c>
      <c r="L72" s="96">
        <v>0.6</v>
      </c>
      <c r="M72" s="104">
        <f t="shared" si="4"/>
        <v>6.4262576756044556</v>
      </c>
      <c r="N72" s="104">
        <f t="shared" si="5"/>
        <v>617.85739327085616</v>
      </c>
      <c r="O72" s="105">
        <v>616.37177431500936</v>
      </c>
      <c r="P72" s="105">
        <v>0.69088453158687113</v>
      </c>
      <c r="Q72" s="104">
        <f t="shared" si="6"/>
        <v>11.532676234577615</v>
      </c>
      <c r="R72" s="106">
        <f t="shared" si="10"/>
        <v>101994.71065289091</v>
      </c>
      <c r="S72" s="107">
        <v>102036.12132552096</v>
      </c>
      <c r="T72" s="111"/>
      <c r="U72" s="104">
        <f t="shared" si="11"/>
        <v>-5.6954573937273434E-2</v>
      </c>
      <c r="V72" s="104">
        <f t="shared" si="12"/>
        <v>-9.751578581033149E-2</v>
      </c>
    </row>
    <row r="73" spans="1:22">
      <c r="A73" s="44" t="s">
        <v>116</v>
      </c>
      <c r="B73" s="90">
        <v>103324</v>
      </c>
      <c r="C73" s="91">
        <f t="shared" si="13"/>
        <v>1.8572555205047303E-2</v>
      </c>
      <c r="D73" s="90">
        <v>31069</v>
      </c>
      <c r="E73" s="91">
        <f t="shared" si="9"/>
        <v>8.3109639184242745E-2</v>
      </c>
      <c r="F73" s="44">
        <v>101714.65</v>
      </c>
      <c r="G73" s="44">
        <v>34185.292999999998</v>
      </c>
      <c r="H73" s="92">
        <v>3.7774782627820969E-2</v>
      </c>
      <c r="I73" s="103">
        <f t="shared" si="7"/>
        <v>624394.25447573431</v>
      </c>
      <c r="J73" s="94">
        <v>0.69096500000000005</v>
      </c>
      <c r="K73" s="95">
        <f t="shared" si="3"/>
        <v>6.9096500000000009E-4</v>
      </c>
      <c r="L73" s="96">
        <v>0.6</v>
      </c>
      <c r="M73" s="104">
        <f t="shared" si="4"/>
        <v>6.4139113810660326</v>
      </c>
      <c r="N73" s="104">
        <f t="shared" si="5"/>
        <v>610.27604101726024</v>
      </c>
      <c r="O73" s="105">
        <v>614.2901821612503</v>
      </c>
      <c r="P73" s="105">
        <v>0.69521195533234637</v>
      </c>
      <c r="Q73" s="104">
        <f t="shared" si="6"/>
        <v>11.540159227322778</v>
      </c>
      <c r="R73" s="106">
        <f t="shared" si="10"/>
        <v>102760.79907503581</v>
      </c>
      <c r="S73" s="107">
        <v>102700.32005089649</v>
      </c>
      <c r="T73" s="111"/>
      <c r="U73" s="104">
        <f t="shared" si="11"/>
        <v>-1.0180429545627812</v>
      </c>
      <c r="V73" s="104">
        <f t="shared" si="12"/>
        <v>-0.9597536311552135</v>
      </c>
    </row>
    <row r="74" spans="1:22">
      <c r="A74" s="44" t="s">
        <v>117</v>
      </c>
      <c r="B74" s="90">
        <v>103236</v>
      </c>
      <c r="C74" s="91">
        <f t="shared" si="13"/>
        <v>4.9551656127366339E-2</v>
      </c>
      <c r="D74" s="90">
        <v>33474</v>
      </c>
      <c r="E74" s="91">
        <f t="shared" si="9"/>
        <v>-5.876729276796766E-2</v>
      </c>
      <c r="F74" s="44">
        <v>102800.34</v>
      </c>
      <c r="G74" s="44">
        <v>27654.626</v>
      </c>
      <c r="H74" s="92">
        <v>3.7774782627820969E-2</v>
      </c>
      <c r="I74" s="103">
        <f t="shared" si="7"/>
        <v>628462.5232388532</v>
      </c>
      <c r="J74" s="94">
        <v>0.69604600000000005</v>
      </c>
      <c r="K74" s="95">
        <f t="shared" si="3"/>
        <v>6.9604600000000008E-4</v>
      </c>
      <c r="L74" s="96">
        <v>0.6</v>
      </c>
      <c r="M74" s="104">
        <f t="shared" si="4"/>
        <v>6.4175349861819111</v>
      </c>
      <c r="N74" s="104">
        <f t="shared" si="5"/>
        <v>612.49145186450528</v>
      </c>
      <c r="O74" s="105">
        <v>612.22576724406747</v>
      </c>
      <c r="P74" s="105">
        <v>0.69961775637123302</v>
      </c>
      <c r="Q74" s="104">
        <f t="shared" si="6"/>
        <v>11.543181092499079</v>
      </c>
      <c r="R74" s="106">
        <f t="shared" si="10"/>
        <v>103071.79801702425</v>
      </c>
      <c r="S74" s="107">
        <v>103373.10436681185</v>
      </c>
      <c r="T74" s="111"/>
      <c r="U74" s="104">
        <f t="shared" si="11"/>
        <v>-0.26336788747919337</v>
      </c>
      <c r="V74" s="104">
        <f t="shared" si="12"/>
        <v>-0.55407484405174401</v>
      </c>
    </row>
    <row r="75" spans="1:22">
      <c r="A75" s="44" t="s">
        <v>118</v>
      </c>
      <c r="B75" s="90">
        <v>99679</v>
      </c>
      <c r="C75" s="91">
        <f t="shared" si="13"/>
        <v>3.0316498873338427E-2</v>
      </c>
      <c r="D75" s="90">
        <v>32330</v>
      </c>
      <c r="E75" s="91">
        <f t="shared" si="9"/>
        <v>5.6363339323640016E-2</v>
      </c>
      <c r="F75" s="44">
        <v>104231.28</v>
      </c>
      <c r="G75" s="44">
        <v>33199.576000000001</v>
      </c>
      <c r="H75" s="92">
        <v>3.8093328475952148E-2</v>
      </c>
      <c r="I75" s="103">
        <f t="shared" si="7"/>
        <v>637721.86990628985</v>
      </c>
      <c r="J75" s="94">
        <v>0.69724799999999998</v>
      </c>
      <c r="K75" s="95">
        <f t="shared" si="3"/>
        <v>6.9724800000000003E-4</v>
      </c>
      <c r="L75" s="96">
        <v>0.6</v>
      </c>
      <c r="M75" s="104">
        <f t="shared" si="4"/>
        <v>6.424473017048979</v>
      </c>
      <c r="N75" s="104">
        <f t="shared" si="5"/>
        <v>616.75571214262141</v>
      </c>
      <c r="O75" s="105">
        <v>610.16586853972956</v>
      </c>
      <c r="P75" s="105">
        <v>0.70409704688771269</v>
      </c>
      <c r="Q75" s="104">
        <f t="shared" si="6"/>
        <v>11.549490397541369</v>
      </c>
      <c r="R75" s="106">
        <f t="shared" si="10"/>
        <v>103724.16525985653</v>
      </c>
      <c r="S75" s="107">
        <v>104050.73701637037</v>
      </c>
      <c r="T75" s="111"/>
      <c r="U75" s="104">
        <f t="shared" si="11"/>
        <v>0.48890703422197479</v>
      </c>
      <c r="V75" s="104">
        <f t="shared" si="12"/>
        <v>0.17351437270571868</v>
      </c>
    </row>
    <row r="76" spans="1:22">
      <c r="A76" s="44" t="s">
        <v>119</v>
      </c>
      <c r="B76" s="90">
        <v>105177</v>
      </c>
      <c r="C76" s="91">
        <f t="shared" si="13"/>
        <v>9.0953573381689079E-3</v>
      </c>
      <c r="D76" s="90">
        <v>29957</v>
      </c>
      <c r="E76" s="91">
        <f t="shared" si="9"/>
        <v>-9.5828805988168564E-2</v>
      </c>
      <c r="F76" s="44">
        <v>104543.12</v>
      </c>
      <c r="G76" s="44">
        <v>31936.753000000001</v>
      </c>
      <c r="H76" s="92">
        <v>3.8093328475952148E-2</v>
      </c>
      <c r="I76" s="103">
        <f t="shared" si="7"/>
        <v>645365.67423965118</v>
      </c>
      <c r="J76" s="94">
        <v>0.69957800000000003</v>
      </c>
      <c r="K76" s="95">
        <f t="shared" si="3"/>
        <v>6.9957800000000007E-4</v>
      </c>
      <c r="L76" s="96">
        <v>0.6</v>
      </c>
      <c r="M76" s="104">
        <f t="shared" si="4"/>
        <v>6.4206927378065188</v>
      </c>
      <c r="N76" s="104">
        <f t="shared" si="5"/>
        <v>614.42860465569947</v>
      </c>
      <c r="O76" s="105">
        <v>608.09799107739298</v>
      </c>
      <c r="P76" s="105">
        <v>0.70864270671823482</v>
      </c>
      <c r="Q76" s="104">
        <f t="shared" si="6"/>
        <v>11.554722695757826</v>
      </c>
      <c r="R76" s="106">
        <f t="shared" si="10"/>
        <v>104268.30332967271</v>
      </c>
      <c r="S76" s="107">
        <v>104729.12276494615</v>
      </c>
      <c r="T76" s="111"/>
      <c r="U76" s="104">
        <f t="shared" si="11"/>
        <v>0.26356683819663829</v>
      </c>
      <c r="V76" s="104">
        <f t="shared" si="12"/>
        <v>-0.1776036693858507</v>
      </c>
    </row>
    <row r="77" spans="1:22">
      <c r="A77" s="44" t="s">
        <v>120</v>
      </c>
      <c r="B77" s="90">
        <v>108275</v>
      </c>
      <c r="C77" s="91">
        <f t="shared" si="13"/>
        <v>4.7917231233788771E-2</v>
      </c>
      <c r="D77" s="90">
        <v>31476</v>
      </c>
      <c r="E77" s="91">
        <f t="shared" si="9"/>
        <v>1.3099874472947359E-2</v>
      </c>
      <c r="F77" s="44">
        <v>105996.51</v>
      </c>
      <c r="G77" s="44">
        <v>34827.652000000002</v>
      </c>
      <c r="H77" s="92">
        <v>3.8093328475952148E-2</v>
      </c>
      <c r="I77" s="103">
        <f t="shared" si="7"/>
        <v>655609.19962373585</v>
      </c>
      <c r="J77" s="94">
        <v>0.71138000000000001</v>
      </c>
      <c r="K77" s="95">
        <f t="shared" si="3"/>
        <v>7.1138000000000006E-4</v>
      </c>
      <c r="L77" s="96">
        <v>0.6</v>
      </c>
      <c r="M77" s="104">
        <f t="shared" si="4"/>
        <v>6.4181625048384365</v>
      </c>
      <c r="N77" s="104">
        <f t="shared" si="5"/>
        <v>612.8759222960806</v>
      </c>
      <c r="O77" s="105">
        <v>606.01375853846594</v>
      </c>
      <c r="P77" s="105">
        <v>0.71324333504494408</v>
      </c>
      <c r="Q77" s="104">
        <f t="shared" si="6"/>
        <v>11.561471172869719</v>
      </c>
      <c r="R77" s="106">
        <f t="shared" si="10"/>
        <v>104974.33522874114</v>
      </c>
      <c r="S77" s="107">
        <v>105404.27921727802</v>
      </c>
      <c r="T77" s="111"/>
      <c r="U77" s="104">
        <f t="shared" si="11"/>
        <v>0.9737377893668242</v>
      </c>
      <c r="V77" s="104">
        <f t="shared" si="12"/>
        <v>0.56186597652374548</v>
      </c>
    </row>
    <row r="78" spans="1:22">
      <c r="A78" s="44" t="s">
        <v>121</v>
      </c>
      <c r="B78" s="90">
        <v>110118</v>
      </c>
      <c r="C78" s="91">
        <f t="shared" si="13"/>
        <v>6.6662792049285047E-2</v>
      </c>
      <c r="D78" s="90">
        <v>45126</v>
      </c>
      <c r="E78" s="91">
        <f t="shared" si="9"/>
        <v>0.34809105574475718</v>
      </c>
      <c r="F78" s="44">
        <v>107068.18</v>
      </c>
      <c r="G78" s="44">
        <v>38704.777999999998</v>
      </c>
      <c r="H78" s="92">
        <v>3.8093328475952148E-2</v>
      </c>
      <c r="I78" s="103">
        <f t="shared" si="7"/>
        <v>669339.64103061287</v>
      </c>
      <c r="J78" s="94">
        <v>0.71575800000000001</v>
      </c>
      <c r="K78" s="95">
        <f t="shared" si="3"/>
        <v>7.1575800000000004E-4</v>
      </c>
      <c r="L78" s="96">
        <v>0.6</v>
      </c>
      <c r="M78" s="104">
        <f t="shared" si="4"/>
        <v>6.4162502435973234</v>
      </c>
      <c r="N78" s="104">
        <f t="shared" si="5"/>
        <v>611.70506327521878</v>
      </c>
      <c r="O78" s="105">
        <v>603.90875123784315</v>
      </c>
      <c r="P78" s="105">
        <v>0.71788186560828615</v>
      </c>
      <c r="Q78" s="104">
        <f t="shared" si="6"/>
        <v>11.570171716755222</v>
      </c>
      <c r="R78" s="106">
        <f t="shared" si="10"/>
        <v>105891.65383795525</v>
      </c>
      <c r="S78" s="107">
        <v>106072.10772637672</v>
      </c>
      <c r="T78" s="111"/>
      <c r="U78" s="104">
        <f t="shared" si="11"/>
        <v>1.111065999446148</v>
      </c>
      <c r="V78" s="104">
        <f t="shared" si="12"/>
        <v>0.93905202316968417</v>
      </c>
    </row>
    <row r="79" spans="1:22">
      <c r="A79" s="44" t="s">
        <v>122</v>
      </c>
      <c r="B79" s="90">
        <v>101100</v>
      </c>
      <c r="C79" s="91">
        <f t="shared" si="13"/>
        <v>1.4255760992786914E-2</v>
      </c>
      <c r="D79" s="90">
        <v>35237</v>
      </c>
      <c r="E79" s="91">
        <f t="shared" si="9"/>
        <v>8.9916486235694482E-2</v>
      </c>
      <c r="F79" s="44">
        <v>107007.92</v>
      </c>
      <c r="G79" s="44">
        <v>36062.044999999998</v>
      </c>
      <c r="H79" s="92">
        <v>3.8487061858177185E-2</v>
      </c>
      <c r="I79" s="103">
        <f t="shared" si="7"/>
        <v>679640.76986213762</v>
      </c>
      <c r="J79" s="94">
        <v>0.71443500000000004</v>
      </c>
      <c r="K79" s="95">
        <f t="shared" si="3"/>
        <v>7.1443500000000003E-4</v>
      </c>
      <c r="L79" s="96">
        <v>0.6</v>
      </c>
      <c r="M79" s="104">
        <f t="shared" si="4"/>
        <v>6.4106882212920056</v>
      </c>
      <c r="N79" s="104">
        <f t="shared" si="5"/>
        <v>608.31219043306737</v>
      </c>
      <c r="O79" s="105">
        <v>601.78283834276783</v>
      </c>
      <c r="P79" s="105">
        <v>0.72254006756430389</v>
      </c>
      <c r="Q79" s="104">
        <f t="shared" si="6"/>
        <v>11.576635067540387</v>
      </c>
      <c r="R79" s="106">
        <f t="shared" ref="R79:R118" si="14">EXP(Q79)</f>
        <v>106578.28532167221</v>
      </c>
      <c r="S79" s="107">
        <v>106728.87978949225</v>
      </c>
      <c r="T79" s="111"/>
      <c r="U79" s="104">
        <f t="shared" ref="U79:U105" si="15">(F79/R79-1)*100</f>
        <v>0.40311652324962477</v>
      </c>
      <c r="V79" s="104">
        <f t="shared" ref="V79:V118" si="16">(F79/S79-1)*100</f>
        <v>0.26144770849101384</v>
      </c>
    </row>
    <row r="80" spans="1:22">
      <c r="A80" s="44" t="s">
        <v>123</v>
      </c>
      <c r="B80" s="90">
        <v>107841</v>
      </c>
      <c r="C80" s="91">
        <f t="shared" si="13"/>
        <v>2.5328731566787388E-2</v>
      </c>
      <c r="D80" s="90">
        <v>39356</v>
      </c>
      <c r="E80" s="91">
        <f t="shared" si="9"/>
        <v>0.3137497079146776</v>
      </c>
      <c r="F80" s="44">
        <v>108686.54</v>
      </c>
      <c r="G80" s="44">
        <v>41698.417999999998</v>
      </c>
      <c r="H80" s="92">
        <v>3.8487061858177185E-2</v>
      </c>
      <c r="I80" s="103">
        <f t="shared" si="7"/>
        <v>695181.81151111436</v>
      </c>
      <c r="J80" s="94">
        <v>0.72067400000000004</v>
      </c>
      <c r="K80" s="95">
        <f t="shared" ref="K80:K102" si="17">J80/1000</f>
        <v>7.2067400000000003E-4</v>
      </c>
      <c r="L80" s="96">
        <v>0.6</v>
      </c>
      <c r="M80" s="104">
        <f t="shared" ref="M80:M118" si="18">LN(F80)-L80*LN(J80)-(1-L80)*LN(I80)</f>
        <v>6.4119927987860432</v>
      </c>
      <c r="N80" s="104">
        <f t="shared" ref="N80:N102" si="19">EXP(M80)</f>
        <v>609.10629870131652</v>
      </c>
      <c r="O80" s="105">
        <v>599.64076171550664</v>
      </c>
      <c r="P80" s="105">
        <v>0.72719838265303494</v>
      </c>
      <c r="Q80" s="104">
        <f>LN(O80)+LN(P80)*L80+LN(I80)*(1-L80)</f>
        <v>11.585968645166776</v>
      </c>
      <c r="R80" s="106">
        <f t="shared" si="14"/>
        <v>107577.69881736</v>
      </c>
      <c r="S80" s="107">
        <v>107371.48944904558</v>
      </c>
      <c r="T80" s="111"/>
      <c r="U80" s="104">
        <f t="shared" si="15"/>
        <v>1.0307351754405225</v>
      </c>
      <c r="V80" s="104">
        <f t="shared" si="16"/>
        <v>1.2247669820939722</v>
      </c>
    </row>
    <row r="81" spans="1:22">
      <c r="A81" s="44" t="s">
        <v>124</v>
      </c>
      <c r="B81" s="90">
        <v>111758</v>
      </c>
      <c r="C81" s="91">
        <f t="shared" si="13"/>
        <v>3.2168090510274805E-2</v>
      </c>
      <c r="D81" s="90">
        <v>36762</v>
      </c>
      <c r="E81" s="91">
        <f t="shared" si="9"/>
        <v>0.1679374761723218</v>
      </c>
      <c r="F81" s="44">
        <v>109376.31</v>
      </c>
      <c r="G81" s="44">
        <v>40368.773000000001</v>
      </c>
      <c r="H81" s="92">
        <v>3.8487061858177185E-2</v>
      </c>
      <c r="I81" s="103">
        <f t="shared" ref="I81:I105" si="20">I80*(1-H81)+G81</f>
        <v>708795.07912880648</v>
      </c>
      <c r="J81" s="94">
        <v>0.72798499999999999</v>
      </c>
      <c r="K81" s="95">
        <f t="shared" si="17"/>
        <v>7.27985E-4</v>
      </c>
      <c r="L81" s="96">
        <v>0.6</v>
      </c>
      <c r="M81" s="104">
        <f t="shared" si="18"/>
        <v>6.4045058076828267</v>
      </c>
      <c r="N81" s="104">
        <f t="shared" si="19"/>
        <v>604.56295447402147</v>
      </c>
      <c r="O81" s="105">
        <v>597.4913440633826</v>
      </c>
      <c r="P81" s="105">
        <v>0.73183218694728924</v>
      </c>
      <c r="Q81" s="104">
        <f t="shared" ref="Q81:Q118" si="21">LN(O81)+LN(P81)*L81+LN(I81)*(1-L81)</f>
        <v>11.593946064597228</v>
      </c>
      <c r="R81" s="106">
        <f t="shared" si="14"/>
        <v>108439.32344328337</v>
      </c>
      <c r="S81" s="107">
        <v>107997.00514758927</v>
      </c>
      <c r="T81" s="111"/>
      <c r="U81" s="104">
        <f t="shared" si="15"/>
        <v>0.86406529196643156</v>
      </c>
      <c r="V81" s="104">
        <f t="shared" si="16"/>
        <v>1.2771695386605941</v>
      </c>
    </row>
    <row r="82" spans="1:22">
      <c r="A82" s="44" t="s">
        <v>125</v>
      </c>
      <c r="B82" s="90">
        <v>114605</v>
      </c>
      <c r="C82" s="91">
        <f t="shared" si="13"/>
        <v>4.0747198459833989E-2</v>
      </c>
      <c r="D82" s="90">
        <v>44939</v>
      </c>
      <c r="E82" s="91">
        <f t="shared" si="9"/>
        <v>-4.1439524885875656E-3</v>
      </c>
      <c r="F82" s="44">
        <v>110016.11</v>
      </c>
      <c r="G82" s="44">
        <v>37984.188000000002</v>
      </c>
      <c r="H82" s="92">
        <v>3.8487061858177185E-2</v>
      </c>
      <c r="I82" s="103">
        <f t="shared" si="20"/>
        <v>719499.82707360445</v>
      </c>
      <c r="J82" s="94">
        <v>0.73110699999999995</v>
      </c>
      <c r="K82" s="95">
        <f t="shared" si="17"/>
        <v>7.3110699999999994E-4</v>
      </c>
      <c r="L82" s="96">
        <v>0.6</v>
      </c>
      <c r="M82" s="104">
        <f t="shared" si="18"/>
        <v>6.4017747356788224</v>
      </c>
      <c r="N82" s="104">
        <f t="shared" si="19"/>
        <v>602.9141021065343</v>
      </c>
      <c r="O82" s="105">
        <v>595.34932405433494</v>
      </c>
      <c r="P82" s="105">
        <v>0.73641277878071854</v>
      </c>
      <c r="Q82" s="104">
        <f t="shared" si="21"/>
        <v>11.600094272469519</v>
      </c>
      <c r="R82" s="106">
        <f t="shared" si="14"/>
        <v>109108.08468027209</v>
      </c>
      <c r="S82" s="107">
        <v>108603.31723427023</v>
      </c>
      <c r="T82" s="111"/>
      <c r="U82" s="104">
        <f t="shared" si="15"/>
        <v>0.83222551508328468</v>
      </c>
      <c r="V82" s="104">
        <f t="shared" si="16"/>
        <v>1.3008744131472572</v>
      </c>
    </row>
    <row r="83" spans="1:22">
      <c r="A83" s="44" t="s">
        <v>126</v>
      </c>
      <c r="B83" s="90">
        <v>105084</v>
      </c>
      <c r="C83" s="91">
        <f t="shared" si="13"/>
        <v>3.9406528189910972E-2</v>
      </c>
      <c r="D83" s="90">
        <v>42426</v>
      </c>
      <c r="E83" s="91">
        <f t="shared" si="9"/>
        <v>0.20401850327780457</v>
      </c>
      <c r="F83" s="44">
        <v>110404.65</v>
      </c>
      <c r="G83" s="44">
        <v>43104.81</v>
      </c>
      <c r="H83" s="92">
        <v>3.9075747132301331E-2</v>
      </c>
      <c r="I83" s="103">
        <f t="shared" si="20"/>
        <v>734489.64376914175</v>
      </c>
      <c r="J83" s="94">
        <v>0.734043</v>
      </c>
      <c r="K83" s="95">
        <f t="shared" si="17"/>
        <v>7.3404299999999998E-4</v>
      </c>
      <c r="L83" s="96">
        <v>0.6</v>
      </c>
      <c r="M83" s="104">
        <f t="shared" si="18"/>
        <v>6.3946476629717015</v>
      </c>
      <c r="N83" s="104">
        <f t="shared" si="19"/>
        <v>598.63236571224695</v>
      </c>
      <c r="O83" s="105">
        <v>593.23386011280934</v>
      </c>
      <c r="P83" s="105">
        <v>0.74090905199513235</v>
      </c>
      <c r="Q83" s="104">
        <f t="shared" si="21"/>
        <v>11.608434720145178</v>
      </c>
      <c r="R83" s="106">
        <f t="shared" si="14"/>
        <v>110021.90047061855</v>
      </c>
      <c r="S83" s="107">
        <v>109189.17812376808</v>
      </c>
      <c r="T83" s="111"/>
      <c r="U83" s="104">
        <f t="shared" si="15"/>
        <v>0.3478848554189895</v>
      </c>
      <c r="V83" s="104">
        <f t="shared" si="16"/>
        <v>1.1131798014397898</v>
      </c>
    </row>
    <row r="84" spans="1:22">
      <c r="A84" s="44" t="s">
        <v>127</v>
      </c>
      <c r="B84" s="90">
        <v>107915</v>
      </c>
      <c r="C84" s="91">
        <f t="shared" si="13"/>
        <v>6.8619541732739542E-4</v>
      </c>
      <c r="D84" s="90">
        <v>34058</v>
      </c>
      <c r="E84" s="91">
        <f t="shared" ref="E84:E106" si="22">D84/D80-1</f>
        <v>-0.1346173391604838</v>
      </c>
      <c r="F84" s="44">
        <v>109689.94</v>
      </c>
      <c r="G84" s="44">
        <v>36853.925999999999</v>
      </c>
      <c r="H84" s="92">
        <v>3.9075747132301331E-2</v>
      </c>
      <c r="I84" s="103">
        <f t="shared" si="20"/>
        <v>742642.83817792463</v>
      </c>
      <c r="J84" s="94">
        <v>0.73989199999999999</v>
      </c>
      <c r="K84" s="95">
        <f t="shared" si="17"/>
        <v>7.3989200000000002E-4</v>
      </c>
      <c r="L84" s="96">
        <v>0.6</v>
      </c>
      <c r="M84" s="104">
        <f t="shared" si="18"/>
        <v>6.3789753647146528</v>
      </c>
      <c r="N84" s="104">
        <f t="shared" si="19"/>
        <v>589.32355648356065</v>
      </c>
      <c r="O84" s="105">
        <v>591.16883864953411</v>
      </c>
      <c r="P84" s="105">
        <v>0.74528658432060235</v>
      </c>
      <c r="Q84" s="104">
        <f t="shared" si="21"/>
        <v>11.612897987344898</v>
      </c>
      <c r="R84" s="106">
        <f t="shared" si="14"/>
        <v>110514.05510204435</v>
      </c>
      <c r="S84" s="107">
        <v>109754.22322624105</v>
      </c>
      <c r="T84" s="111"/>
      <c r="U84" s="104">
        <f t="shared" si="15"/>
        <v>-0.74571067117517043</v>
      </c>
      <c r="V84" s="104">
        <f t="shared" si="16"/>
        <v>-5.8570161904880624E-2</v>
      </c>
    </row>
    <row r="85" spans="1:22">
      <c r="A85" s="44" t="s">
        <v>128</v>
      </c>
      <c r="B85" s="90">
        <v>111969</v>
      </c>
      <c r="C85" s="91">
        <f t="shared" si="13"/>
        <v>1.8880080173231395E-3</v>
      </c>
      <c r="D85" s="90">
        <v>32082</v>
      </c>
      <c r="E85" s="91">
        <f t="shared" si="22"/>
        <v>-0.12730536967520811</v>
      </c>
      <c r="F85" s="44">
        <v>110203.93</v>
      </c>
      <c r="G85" s="44">
        <v>35937.540999999997</v>
      </c>
      <c r="H85" s="92">
        <v>3.9075747132301303E-2</v>
      </c>
      <c r="I85" s="103">
        <f t="shared" si="20"/>
        <v>749561.0554236694</v>
      </c>
      <c r="J85" s="94">
        <v>0.74345099999999997</v>
      </c>
      <c r="K85" s="95">
        <f t="shared" si="17"/>
        <v>7.4345100000000001E-4</v>
      </c>
      <c r="L85" s="96">
        <v>0.6</v>
      </c>
      <c r="M85" s="104">
        <f t="shared" si="18"/>
        <v>6.3770620674541743</v>
      </c>
      <c r="N85" s="104">
        <f t="shared" si="19"/>
        <v>588.19708332005473</v>
      </c>
      <c r="O85" s="105">
        <v>589.18152014123734</v>
      </c>
      <c r="P85" s="105">
        <v>0.74950666220470319</v>
      </c>
      <c r="Q85" s="104">
        <f t="shared" si="21"/>
        <v>11.616627498104604</v>
      </c>
      <c r="R85" s="106">
        <f t="shared" si="14"/>
        <v>110926.98799985678</v>
      </c>
      <c r="S85" s="107">
        <v>110298.84762176999</v>
      </c>
      <c r="T85" s="111"/>
      <c r="U85" s="104">
        <f t="shared" si="15"/>
        <v>-0.65183235648453852</v>
      </c>
      <c r="V85" s="104">
        <f t="shared" si="16"/>
        <v>-8.6054953262504341E-2</v>
      </c>
    </row>
    <row r="86" spans="1:22">
      <c r="A86" s="44" t="s">
        <v>129</v>
      </c>
      <c r="B86" s="90">
        <v>115045</v>
      </c>
      <c r="C86" s="91">
        <f t="shared" si="13"/>
        <v>3.8392740281838478E-3</v>
      </c>
      <c r="D86" s="90">
        <v>44282</v>
      </c>
      <c r="E86" s="91">
        <f t="shared" si="22"/>
        <v>-1.4619817975477845E-2</v>
      </c>
      <c r="F86" s="44">
        <v>110280.45</v>
      </c>
      <c r="G86" s="44">
        <v>36686.894999999997</v>
      </c>
      <c r="H86" s="92">
        <v>3.9075747132301331E-2</v>
      </c>
      <c r="I86" s="103">
        <f t="shared" si="20"/>
        <v>756958.29216171324</v>
      </c>
      <c r="J86" s="94">
        <v>0.74520600000000004</v>
      </c>
      <c r="K86" s="95">
        <f t="shared" si="17"/>
        <v>7.4520599999999999E-4</v>
      </c>
      <c r="L86" s="96">
        <v>0.6</v>
      </c>
      <c r="M86" s="104">
        <f t="shared" si="18"/>
        <v>6.3724133250332828</v>
      </c>
      <c r="N86" s="104">
        <f t="shared" si="19"/>
        <v>585.46905245629148</v>
      </c>
      <c r="O86" s="105">
        <v>587.29801176329318</v>
      </c>
      <c r="P86" s="105">
        <v>0.75352720047980903</v>
      </c>
      <c r="Q86" s="104">
        <f t="shared" si="21"/>
        <v>11.620563653377207</v>
      </c>
      <c r="R86" s="106">
        <f t="shared" si="14"/>
        <v>111364.47429068886</v>
      </c>
      <c r="S86" s="107">
        <v>110823.40621341935</v>
      </c>
      <c r="T86" s="111"/>
      <c r="U86" s="104">
        <f t="shared" si="15"/>
        <v>-0.97340224303424927</v>
      </c>
      <c r="V86" s="104">
        <f t="shared" si="16"/>
        <v>-0.48992918731783908</v>
      </c>
    </row>
    <row r="87" spans="1:22">
      <c r="A87" s="44" t="s">
        <v>130</v>
      </c>
      <c r="B87" s="90">
        <v>105790</v>
      </c>
      <c r="C87" s="91">
        <f t="shared" si="13"/>
        <v>6.7184347759887686E-3</v>
      </c>
      <c r="D87" s="90">
        <v>40290</v>
      </c>
      <c r="E87" s="91">
        <f t="shared" si="22"/>
        <v>-5.034648564559463E-2</v>
      </c>
      <c r="F87" s="44">
        <v>111487.41</v>
      </c>
      <c r="G87" s="44">
        <v>41040.591999999997</v>
      </c>
      <c r="H87" s="92">
        <v>3.9768289774656296E-2</v>
      </c>
      <c r="I87" s="103">
        <f t="shared" si="20"/>
        <v>767895.9474516972</v>
      </c>
      <c r="J87" s="94">
        <v>0.749892</v>
      </c>
      <c r="K87" s="95">
        <f t="shared" si="17"/>
        <v>7.4989200000000005E-4</v>
      </c>
      <c r="L87" s="96">
        <v>0.6</v>
      </c>
      <c r="M87" s="104">
        <f t="shared" si="18"/>
        <v>6.373798791256438</v>
      </c>
      <c r="N87" s="112">
        <f t="shared" si="19"/>
        <v>586.2807622215629</v>
      </c>
      <c r="O87" s="105">
        <v>585.54380541806268</v>
      </c>
      <c r="P87" s="105">
        <v>0.75730232918941631</v>
      </c>
      <c r="Q87" s="104">
        <f t="shared" si="21"/>
        <v>11.626309168163644</v>
      </c>
      <c r="R87" s="106">
        <f t="shared" si="14"/>
        <v>112006.16217279149</v>
      </c>
      <c r="S87" s="107">
        <v>111328.19458073999</v>
      </c>
      <c r="T87" s="111"/>
      <c r="U87" s="104">
        <f t="shared" si="15"/>
        <v>-0.46314610082899277</v>
      </c>
      <c r="V87" s="104">
        <f t="shared" si="16"/>
        <v>0.14301446265216899</v>
      </c>
    </row>
    <row r="88" spans="1:22">
      <c r="A88" s="44" t="s">
        <v>131</v>
      </c>
      <c r="B88" s="90">
        <v>110944</v>
      </c>
      <c r="C88" s="91">
        <f t="shared" si="13"/>
        <v>2.806838715655835E-2</v>
      </c>
      <c r="D88" s="90">
        <v>31535</v>
      </c>
      <c r="E88" s="91">
        <f t="shared" si="22"/>
        <v>-7.4079511421692446E-2</v>
      </c>
      <c r="F88" s="44">
        <v>112154.71</v>
      </c>
      <c r="G88" s="44">
        <v>34687.873</v>
      </c>
      <c r="H88" s="92">
        <v>3.9768289774656296E-2</v>
      </c>
      <c r="I88" s="103">
        <f t="shared" si="20"/>
        <v>772045.91189665382</v>
      </c>
      <c r="J88" s="94">
        <v>0.75507299999999999</v>
      </c>
      <c r="K88" s="95">
        <f t="shared" si="17"/>
        <v>7.5507299999999999E-4</v>
      </c>
      <c r="L88" s="96">
        <v>0.6</v>
      </c>
      <c r="M88" s="104">
        <f t="shared" si="18"/>
        <v>6.3734793243478558</v>
      </c>
      <c r="N88" s="104">
        <f t="shared" si="19"/>
        <v>586.09349483335427</v>
      </c>
      <c r="O88" s="105">
        <v>583.94324990834002</v>
      </c>
      <c r="P88" s="105">
        <v>0.76078097762672148</v>
      </c>
      <c r="Q88" s="104">
        <f t="shared" si="21"/>
        <v>11.628477660025082</v>
      </c>
      <c r="R88" s="106">
        <f t="shared" si="14"/>
        <v>112249.31016082996</v>
      </c>
      <c r="S88" s="107">
        <v>111813.16895564937</v>
      </c>
      <c r="T88" s="111"/>
      <c r="U88" s="104">
        <f t="shared" si="15"/>
        <v>-8.4276830471752273E-2</v>
      </c>
      <c r="V88" s="104">
        <f t="shared" si="16"/>
        <v>0.30545690417387306</v>
      </c>
    </row>
    <row r="89" spans="1:22">
      <c r="A89" s="44" t="s">
        <v>132</v>
      </c>
      <c r="B89" s="90">
        <v>114985</v>
      </c>
      <c r="C89" s="91">
        <f t="shared" si="13"/>
        <v>2.6936026936027035E-2</v>
      </c>
      <c r="D89" s="90">
        <v>32266</v>
      </c>
      <c r="E89" s="91">
        <f t="shared" si="22"/>
        <v>5.735303285331339E-3</v>
      </c>
      <c r="F89" s="44">
        <v>113445.9</v>
      </c>
      <c r="G89" s="44">
        <v>36265.061000000002</v>
      </c>
      <c r="H89" s="92">
        <v>3.9768289774656296E-2</v>
      </c>
      <c r="I89" s="103">
        <f t="shared" si="20"/>
        <v>777608.02735300886</v>
      </c>
      <c r="J89" s="94">
        <v>0.75944500000000004</v>
      </c>
      <c r="K89" s="95">
        <f t="shared" si="17"/>
        <v>7.5944500000000009E-4</v>
      </c>
      <c r="L89" s="96">
        <v>0.6</v>
      </c>
      <c r="M89" s="104">
        <f t="shared" si="18"/>
        <v>6.3785906335387086</v>
      </c>
      <c r="N89" s="104">
        <f t="shared" si="19"/>
        <v>589.09686894834033</v>
      </c>
      <c r="O89" s="105">
        <v>582.52115463492157</v>
      </c>
      <c r="P89" s="105">
        <v>0.76390744362917773</v>
      </c>
      <c r="Q89" s="104">
        <f t="shared" si="21"/>
        <v>11.631371457335034</v>
      </c>
      <c r="R89" s="106">
        <f t="shared" si="14"/>
        <v>112574.607357689</v>
      </c>
      <c r="S89" s="107">
        <v>112278.38507970201</v>
      </c>
      <c r="T89" s="111"/>
      <c r="U89" s="104">
        <f t="shared" si="15"/>
        <v>0.77396907061162423</v>
      </c>
      <c r="V89" s="104">
        <f t="shared" si="16"/>
        <v>1.0398394307766345</v>
      </c>
    </row>
    <row r="90" spans="1:22">
      <c r="A90" s="44" t="s">
        <v>133</v>
      </c>
      <c r="B90" s="90">
        <v>120969</v>
      </c>
      <c r="C90" s="91">
        <f t="shared" si="13"/>
        <v>5.1492894084923302E-2</v>
      </c>
      <c r="D90" s="90">
        <v>51314</v>
      </c>
      <c r="E90" s="91">
        <f t="shared" si="22"/>
        <v>0.15880041551872082</v>
      </c>
      <c r="F90" s="44">
        <v>115267.1</v>
      </c>
      <c r="G90" s="44">
        <v>43064.82</v>
      </c>
      <c r="H90" s="92">
        <v>3.9768289774656296E-2</v>
      </c>
      <c r="I90" s="103">
        <f t="shared" si="20"/>
        <v>789748.70599013544</v>
      </c>
      <c r="J90" s="94">
        <v>0.77180599999999999</v>
      </c>
      <c r="K90" s="95">
        <f t="shared" si="17"/>
        <v>7.7180599999999999E-4</v>
      </c>
      <c r="L90" s="96">
        <v>0.6</v>
      </c>
      <c r="M90" s="104">
        <f t="shared" si="18"/>
        <v>6.3786325244161919</v>
      </c>
      <c r="N90" s="104">
        <f t="shared" si="19"/>
        <v>589.12154724999743</v>
      </c>
      <c r="O90" s="105">
        <v>581.30367290168203</v>
      </c>
      <c r="P90" s="105">
        <v>0.76662245754822167</v>
      </c>
      <c r="Q90" s="104">
        <f t="shared" si="21"/>
        <v>11.637604826299473</v>
      </c>
      <c r="R90" s="106">
        <f t="shared" si="14"/>
        <v>113278.51800958598</v>
      </c>
      <c r="S90" s="107">
        <v>112724.11215760518</v>
      </c>
      <c r="T90" s="111"/>
      <c r="U90" s="104">
        <f t="shared" si="15"/>
        <v>1.7554802316938289</v>
      </c>
      <c r="V90" s="104">
        <f t="shared" si="16"/>
        <v>2.2559395622822498</v>
      </c>
    </row>
    <row r="91" spans="1:22">
      <c r="A91" s="44" t="s">
        <v>134</v>
      </c>
      <c r="B91" s="90">
        <v>108747</v>
      </c>
      <c r="C91" s="91">
        <f t="shared" si="13"/>
        <v>2.7951602230834593E-2</v>
      </c>
      <c r="D91" s="90">
        <v>39839</v>
      </c>
      <c r="E91" s="91">
        <f t="shared" si="22"/>
        <v>-1.1193844626458227E-2</v>
      </c>
      <c r="F91" s="44">
        <v>116198.96</v>
      </c>
      <c r="G91" s="44">
        <v>40908.36</v>
      </c>
      <c r="H91" s="92">
        <v>4.0770553052425385E-2</v>
      </c>
      <c r="I91" s="103">
        <f t="shared" si="20"/>
        <v>798458.57447448035</v>
      </c>
      <c r="J91" s="94">
        <v>0.78941399999999995</v>
      </c>
      <c r="K91" s="95">
        <f t="shared" si="17"/>
        <v>7.89414E-4</v>
      </c>
      <c r="L91" s="96">
        <v>0.6</v>
      </c>
      <c r="M91" s="104">
        <f t="shared" si="18"/>
        <v>6.3687624553826403</v>
      </c>
      <c r="N91" s="104">
        <f t="shared" si="19"/>
        <v>583.335478331638</v>
      </c>
      <c r="O91" s="105">
        <v>580.32106783394181</v>
      </c>
      <c r="P91" s="105">
        <v>0.76886396070802154</v>
      </c>
      <c r="Q91" s="104">
        <f t="shared" si="21"/>
        <v>11.6420521244891</v>
      </c>
      <c r="R91" s="106">
        <f t="shared" si="14"/>
        <v>113783.42325756411</v>
      </c>
      <c r="S91" s="107">
        <v>113151.34909089129</v>
      </c>
      <c r="T91" s="111"/>
      <c r="U91" s="104">
        <f t="shared" si="15"/>
        <v>2.122925003730991</v>
      </c>
      <c r="V91" s="104">
        <f t="shared" si="16"/>
        <v>2.6933933475778993</v>
      </c>
    </row>
    <row r="92" spans="1:22">
      <c r="A92" s="44" t="s">
        <v>135</v>
      </c>
      <c r="B92" s="90">
        <v>117707</v>
      </c>
      <c r="C92" s="91">
        <f t="shared" si="13"/>
        <v>6.095868185751363E-2</v>
      </c>
      <c r="D92" s="90">
        <v>35780</v>
      </c>
      <c r="E92" s="91">
        <f t="shared" si="22"/>
        <v>0.13461233550023777</v>
      </c>
      <c r="F92" s="44">
        <v>117823.37</v>
      </c>
      <c r="G92" s="44">
        <v>39100.095999999998</v>
      </c>
      <c r="H92" s="92">
        <v>4.0770553052425385E-2</v>
      </c>
      <c r="I92" s="103">
        <f t="shared" si="20"/>
        <v>805005.07280370465</v>
      </c>
      <c r="J92" s="94">
        <v>0.79428299999999996</v>
      </c>
      <c r="K92" s="95">
        <f t="shared" si="17"/>
        <v>7.9428300000000001E-4</v>
      </c>
      <c r="L92" s="96">
        <v>0.6</v>
      </c>
      <c r="M92" s="104">
        <f t="shared" si="18"/>
        <v>6.3756896492590469</v>
      </c>
      <c r="N92" s="104">
        <f t="shared" si="19"/>
        <v>587.39038463118493</v>
      </c>
      <c r="O92" s="105">
        <v>579.60848872848896</v>
      </c>
      <c r="P92" s="105">
        <v>0.77057313414677775</v>
      </c>
      <c r="Q92" s="104">
        <f t="shared" si="21"/>
        <v>11.645421972808837</v>
      </c>
      <c r="R92" s="106">
        <f t="shared" si="14"/>
        <v>114167.50291687646</v>
      </c>
      <c r="S92" s="107">
        <v>113562.68414849426</v>
      </c>
      <c r="T92" s="111"/>
      <c r="U92" s="104">
        <f t="shared" si="15"/>
        <v>3.2021958873755141</v>
      </c>
      <c r="V92" s="104">
        <f t="shared" si="16"/>
        <v>3.7518361629551356</v>
      </c>
    </row>
    <row r="93" spans="1:22">
      <c r="A93" s="44" t="s">
        <v>136</v>
      </c>
      <c r="B93" s="90">
        <v>119971</v>
      </c>
      <c r="C93" s="91">
        <f t="shared" si="13"/>
        <v>4.3362177675349001E-2</v>
      </c>
      <c r="D93" s="90">
        <v>38808</v>
      </c>
      <c r="E93" s="91">
        <f t="shared" si="22"/>
        <v>0.20275212297774758</v>
      </c>
      <c r="F93" s="44">
        <v>118259.05</v>
      </c>
      <c r="G93" s="44">
        <v>42821.178</v>
      </c>
      <c r="H93" s="92">
        <v>4.0770553052425385E-2</v>
      </c>
      <c r="I93" s="103">
        <f t="shared" si="20"/>
        <v>815005.74877548963</v>
      </c>
      <c r="J93" s="94">
        <v>0.79954599999999998</v>
      </c>
      <c r="K93" s="95">
        <f t="shared" si="17"/>
        <v>7.9954599999999994E-4</v>
      </c>
      <c r="L93" s="96">
        <v>0.6</v>
      </c>
      <c r="M93" s="104">
        <f t="shared" si="18"/>
        <v>6.3704793852730699</v>
      </c>
      <c r="N93" s="104">
        <f t="shared" si="19"/>
        <v>584.33788473504671</v>
      </c>
      <c r="O93" s="105">
        <v>579.20296888867256</v>
      </c>
      <c r="P93" s="105">
        <v>0.77170400267724826</v>
      </c>
      <c r="Q93" s="104">
        <f t="shared" si="21"/>
        <v>11.650540614045424</v>
      </c>
      <c r="R93" s="106">
        <f t="shared" si="14"/>
        <v>114753.38358245615</v>
      </c>
      <c r="S93" s="107">
        <v>113962.61035616616</v>
      </c>
      <c r="T93" s="111"/>
      <c r="U93" s="104">
        <f t="shared" si="15"/>
        <v>3.0549569068042848</v>
      </c>
      <c r="V93" s="104">
        <f t="shared" si="16"/>
        <v>3.7700432013677343</v>
      </c>
    </row>
    <row r="94" spans="1:22">
      <c r="A94" s="44" t="s">
        <v>137</v>
      </c>
      <c r="B94" s="90">
        <v>123964</v>
      </c>
      <c r="C94" s="91">
        <f t="shared" si="13"/>
        <v>2.4758409179211238E-2</v>
      </c>
      <c r="D94" s="90">
        <v>54499</v>
      </c>
      <c r="E94" s="91">
        <f t="shared" si="22"/>
        <v>6.2068831118213375E-2</v>
      </c>
      <c r="F94" s="44">
        <v>116837</v>
      </c>
      <c r="G94" s="44">
        <v>45810.188999999998</v>
      </c>
      <c r="H94" s="92">
        <v>4.0770553052425385E-2</v>
      </c>
      <c r="I94" s="103">
        <f t="shared" si="20"/>
        <v>827587.70265700691</v>
      </c>
      <c r="J94" s="94">
        <v>0.80736200000000002</v>
      </c>
      <c r="K94" s="95">
        <f t="shared" si="17"/>
        <v>8.0736200000000005E-4</v>
      </c>
      <c r="L94" s="96">
        <v>0.6</v>
      </c>
      <c r="M94" s="104">
        <f t="shared" si="18"/>
        <v>6.3464168155469043</v>
      </c>
      <c r="N94" s="104">
        <f t="shared" si="19"/>
        <v>570.4450328308327</v>
      </c>
      <c r="O94" s="105">
        <v>579.14640530278086</v>
      </c>
      <c r="P94" s="105">
        <v>0.7722254097783493</v>
      </c>
      <c r="Q94" s="104">
        <f t="shared" si="21"/>
        <v>11.656976176791044</v>
      </c>
      <c r="R94" s="106">
        <f t="shared" si="14"/>
        <v>115494.26762859145</v>
      </c>
      <c r="S94" s="107">
        <v>114358.28366831627</v>
      </c>
      <c r="T94" s="111"/>
      <c r="U94" s="104">
        <f t="shared" si="15"/>
        <v>1.1625965504422631</v>
      </c>
      <c r="V94" s="104">
        <f t="shared" si="16"/>
        <v>2.1675004662303099</v>
      </c>
    </row>
    <row r="95" spans="1:22">
      <c r="A95" s="44" t="s">
        <v>138</v>
      </c>
      <c r="B95" s="90">
        <v>108403</v>
      </c>
      <c r="C95" s="91">
        <f t="shared" si="13"/>
        <v>-3.1633056544088101E-3</v>
      </c>
      <c r="D95" s="90">
        <v>36340</v>
      </c>
      <c r="E95" s="91">
        <f t="shared" si="22"/>
        <v>-8.7828509751750827E-2</v>
      </c>
      <c r="F95" s="44">
        <v>116435.85</v>
      </c>
      <c r="G95" s="44">
        <v>37735.966</v>
      </c>
      <c r="H95" s="92">
        <v>4.0770553052425385E-2</v>
      </c>
      <c r="I95" s="103">
        <f t="shared" si="20"/>
        <v>831582.4603202946</v>
      </c>
      <c r="J95" s="94">
        <v>0.81110599999999999</v>
      </c>
      <c r="K95" s="95">
        <f t="shared" si="17"/>
        <v>8.1110600000000002E-4</v>
      </c>
      <c r="L95" s="96">
        <v>0.6</v>
      </c>
      <c r="M95" s="104">
        <f t="shared" si="18"/>
        <v>6.3382753775910103</v>
      </c>
      <c r="N95" s="104">
        <f t="shared" si="19"/>
        <v>565.81964419478959</v>
      </c>
      <c r="O95" s="105">
        <v>579.48390428150617</v>
      </c>
      <c r="P95" s="105">
        <v>0.77212360017732384</v>
      </c>
      <c r="Q95" s="104">
        <f t="shared" si="21"/>
        <v>11.659405801764628</v>
      </c>
      <c r="R95" s="106">
        <f t="shared" si="14"/>
        <v>115775.21654757728</v>
      </c>
      <c r="S95" s="107">
        <v>114759.5453141313</v>
      </c>
      <c r="T95" s="111"/>
      <c r="U95" s="104">
        <f t="shared" si="15"/>
        <v>0.5706173325542796</v>
      </c>
      <c r="V95" s="104">
        <f t="shared" si="16"/>
        <v>1.4607104631515933</v>
      </c>
    </row>
    <row r="96" spans="1:22">
      <c r="A96" s="44" t="s">
        <v>139</v>
      </c>
      <c r="B96" s="90">
        <v>99561</v>
      </c>
      <c r="C96" s="91">
        <f t="shared" si="13"/>
        <v>-0.15416245422957009</v>
      </c>
      <c r="D96" s="90">
        <v>21170</v>
      </c>
      <c r="E96" s="91">
        <f t="shared" si="22"/>
        <v>-0.40832867523756289</v>
      </c>
      <c r="F96" s="44">
        <v>100451.96</v>
      </c>
      <c r="G96" s="44">
        <v>24488.807000000001</v>
      </c>
      <c r="H96" s="92">
        <v>4.0770553052425385E-2</v>
      </c>
      <c r="I96" s="103">
        <f t="shared" si="20"/>
        <v>822167.19050433964</v>
      </c>
      <c r="J96" s="94">
        <v>0.79341600000000001</v>
      </c>
      <c r="K96" s="95">
        <f t="shared" si="17"/>
        <v>7.9341600000000002E-4</v>
      </c>
      <c r="L96" s="96">
        <v>0.6</v>
      </c>
      <c r="M96" s="104">
        <f t="shared" si="18"/>
        <v>6.2083998258352295</v>
      </c>
      <c r="N96" s="104">
        <f t="shared" si="19"/>
        <v>496.90547945928535</v>
      </c>
      <c r="O96" s="105">
        <v>580.25513377774575</v>
      </c>
      <c r="P96" s="105">
        <v>0.77140677897030341</v>
      </c>
      <c r="Q96" s="104">
        <f t="shared" si="21"/>
        <v>11.655623844674746</v>
      </c>
      <c r="R96" s="106">
        <f t="shared" si="14"/>
        <v>115338.18658172201</v>
      </c>
      <c r="S96" s="107">
        <v>115177.78572050523</v>
      </c>
      <c r="T96" s="111"/>
      <c r="U96" s="104">
        <f t="shared" si="15"/>
        <v>-12.906589762597386</v>
      </c>
      <c r="V96" s="104">
        <f t="shared" si="16"/>
        <v>-12.785300245517362</v>
      </c>
    </row>
    <row r="97" spans="1:22">
      <c r="A97" s="44" t="s">
        <v>140</v>
      </c>
      <c r="B97" s="90">
        <v>114754</v>
      </c>
      <c r="C97" s="91">
        <f t="shared" si="13"/>
        <v>-4.3485508998007849E-2</v>
      </c>
      <c r="D97" s="90">
        <v>38081</v>
      </c>
      <c r="E97" s="91">
        <f t="shared" si="22"/>
        <v>-1.8733250876107999E-2</v>
      </c>
      <c r="F97" s="44">
        <v>114996.57</v>
      </c>
      <c r="G97" s="44">
        <v>42150.288999999997</v>
      </c>
      <c r="H97" s="92">
        <v>4.0770553052425385E-2</v>
      </c>
      <c r="I97" s="103">
        <f t="shared" si="20"/>
        <v>830797.26844591892</v>
      </c>
      <c r="J97" s="94">
        <v>0.78556099999999995</v>
      </c>
      <c r="K97" s="95">
        <f t="shared" si="17"/>
        <v>7.8556099999999994E-4</v>
      </c>
      <c r="L97" s="96">
        <v>0.6</v>
      </c>
      <c r="M97" s="104">
        <f t="shared" si="18"/>
        <v>6.345415447621356</v>
      </c>
      <c r="N97" s="104">
        <f t="shared" si="19"/>
        <v>569.87409337960298</v>
      </c>
      <c r="O97" s="105">
        <v>581.49122158184286</v>
      </c>
      <c r="P97" s="105">
        <v>0.77010751525330878</v>
      </c>
      <c r="Q97" s="104">
        <f t="shared" si="21"/>
        <v>11.660917222720713</v>
      </c>
      <c r="R97" s="106">
        <f t="shared" si="14"/>
        <v>115950.33394077506</v>
      </c>
      <c r="S97" s="107">
        <v>115625.44300476073</v>
      </c>
      <c r="T97" s="111"/>
      <c r="U97" s="104">
        <f t="shared" si="15"/>
        <v>-0.82256247857139808</v>
      </c>
      <c r="V97" s="104">
        <f t="shared" si="16"/>
        <v>-0.5438880824308101</v>
      </c>
    </row>
    <row r="98" spans="1:22">
      <c r="A98" s="44" t="s">
        <v>141</v>
      </c>
      <c r="B98" s="90">
        <v>125618</v>
      </c>
      <c r="C98" s="91">
        <f t="shared" si="13"/>
        <v>1.334258333064442E-2</v>
      </c>
      <c r="D98" s="90">
        <v>47812</v>
      </c>
      <c r="E98" s="91">
        <f t="shared" si="22"/>
        <v>-0.12269949907337752</v>
      </c>
      <c r="F98" s="44">
        <v>116182.87</v>
      </c>
      <c r="G98" s="44">
        <v>38922.67</v>
      </c>
      <c r="H98" s="92">
        <v>4.0770553052425385E-2</v>
      </c>
      <c r="I98" s="103">
        <f t="shared" si="20"/>
        <v>835847.87433693453</v>
      </c>
      <c r="J98" s="94">
        <v>0.78955200000000003</v>
      </c>
      <c r="K98" s="95">
        <f t="shared" si="17"/>
        <v>7.8955200000000001E-4</v>
      </c>
      <c r="L98" s="96">
        <v>0.6</v>
      </c>
      <c r="M98" s="104">
        <f t="shared" si="18"/>
        <v>6.3502136812741083</v>
      </c>
      <c r="N98" s="104">
        <f t="shared" si="19"/>
        <v>572.61505305600076</v>
      </c>
      <c r="O98" s="105">
        <v>583.17120195019163</v>
      </c>
      <c r="P98" s="105">
        <v>0.76827213388550442</v>
      </c>
      <c r="Q98" s="104">
        <f t="shared" si="21"/>
        <v>11.664794802346982</v>
      </c>
      <c r="R98" s="106">
        <f t="shared" si="14"/>
        <v>116400.8134139</v>
      </c>
      <c r="S98" s="107">
        <v>116105.75164314518</v>
      </c>
      <c r="T98" s="111"/>
      <c r="U98" s="104">
        <f t="shared" si="15"/>
        <v>-0.18723530146222966</v>
      </c>
      <c r="V98" s="104">
        <f t="shared" si="16"/>
        <v>6.6420789464283203E-2</v>
      </c>
    </row>
    <row r="99" spans="1:22">
      <c r="A99" s="44" t="s">
        <v>142</v>
      </c>
      <c r="B99" s="90">
        <v>108463</v>
      </c>
      <c r="C99" s="91">
        <f t="shared" si="13"/>
        <v>5.5349021706030399E-4</v>
      </c>
      <c r="D99" s="90">
        <v>30713</v>
      </c>
      <c r="E99" s="91">
        <f t="shared" si="22"/>
        <v>-0.15484314804623001</v>
      </c>
      <c r="F99" s="44">
        <v>115884.3</v>
      </c>
      <c r="G99" s="44">
        <v>32195.686000000002</v>
      </c>
      <c r="H99" s="92">
        <v>4.0770553052425385E-2</v>
      </c>
      <c r="I99" s="103">
        <f>(I98*(1-H99)+G99)</f>
        <v>833965.5802325235</v>
      </c>
      <c r="J99" s="94">
        <v>0.79312099999999996</v>
      </c>
      <c r="K99" s="95">
        <f>(J99/1000)</f>
        <v>7.9312099999999993E-4</v>
      </c>
      <c r="L99" s="96">
        <v>0.6</v>
      </c>
      <c r="M99" s="104">
        <f t="shared" si="18"/>
        <v>6.3458362849537835</v>
      </c>
      <c r="N99" s="104">
        <f>EXP(M99)</f>
        <v>570.11396814346801</v>
      </c>
      <c r="O99" s="105">
        <v>585.26684843405985</v>
      </c>
      <c r="P99" s="113">
        <v>0.76595661815402127</v>
      </c>
      <c r="Q99" s="104">
        <f>LN(O99)+LN(P99)*L99+LN(I99)*(1-L99)</f>
        <v>11.665669011244395</v>
      </c>
      <c r="R99" s="106">
        <f t="shared" si="14"/>
        <v>116502.61653276515</v>
      </c>
      <c r="S99" s="107">
        <v>116621.55306627795</v>
      </c>
      <c r="T99" s="111"/>
      <c r="U99" s="104">
        <f t="shared" si="15"/>
        <v>-0.53073188497123613</v>
      </c>
      <c r="V99" s="104">
        <f t="shared" si="16"/>
        <v>-0.63217565440837342</v>
      </c>
    </row>
    <row r="100" spans="1:22">
      <c r="A100" s="44" t="s">
        <v>143</v>
      </c>
      <c r="B100" s="90">
        <v>114017</v>
      </c>
      <c r="C100" s="91">
        <f t="shared" si="13"/>
        <v>0.14519741665913366</v>
      </c>
      <c r="D100" s="90">
        <v>28619</v>
      </c>
      <c r="E100" s="91">
        <f t="shared" si="22"/>
        <v>0.35186584789796882</v>
      </c>
      <c r="F100" s="44">
        <v>115734.57</v>
      </c>
      <c r="G100" s="44">
        <v>31857.198</v>
      </c>
      <c r="H100" s="92">
        <v>4.0770553052425385E-2</v>
      </c>
      <c r="I100" s="103">
        <f t="shared" si="20"/>
        <v>831821.54029975669</v>
      </c>
      <c r="J100" s="94">
        <v>0.79527099999999995</v>
      </c>
      <c r="K100" s="95">
        <f t="shared" si="17"/>
        <v>7.9527099999999996E-4</v>
      </c>
      <c r="L100" s="96">
        <v>0.6</v>
      </c>
      <c r="M100" s="104">
        <f t="shared" si="18"/>
        <v>6.3439487828881296</v>
      </c>
      <c r="N100" s="104">
        <f t="shared" si="19"/>
        <v>569.03889177455062</v>
      </c>
      <c r="O100" s="105">
        <v>587.74333699165629</v>
      </c>
      <c r="P100" s="113">
        <v>0.76323025126231181</v>
      </c>
      <c r="Q100" s="104">
        <f t="shared" si="21"/>
        <v>11.666722318333523</v>
      </c>
      <c r="R100" s="106">
        <f t="shared" si="14"/>
        <v>116625.39421461105</v>
      </c>
      <c r="S100" s="107">
        <v>117175.73690375144</v>
      </c>
      <c r="T100" s="111"/>
      <c r="U100" s="104">
        <f t="shared" si="15"/>
        <v>-0.7638338293388891</v>
      </c>
      <c r="V100" s="104">
        <f t="shared" si="16"/>
        <v>-1.2299192152170679</v>
      </c>
    </row>
    <row r="101" spans="1:22">
      <c r="A101" s="44" t="s">
        <v>144</v>
      </c>
      <c r="B101" s="90">
        <v>116382</v>
      </c>
      <c r="C101" s="91">
        <f t="shared" si="13"/>
        <v>1.4186869303030925E-2</v>
      </c>
      <c r="D101" s="90">
        <v>33793</v>
      </c>
      <c r="E101" s="91">
        <f t="shared" si="22"/>
        <v>-0.11260208502927971</v>
      </c>
      <c r="F101" s="44">
        <v>117028.59</v>
      </c>
      <c r="G101" s="44">
        <v>38126.949999999997</v>
      </c>
      <c r="H101" s="92">
        <v>4.0770553052425385E-2</v>
      </c>
      <c r="I101" s="103">
        <f t="shared" si="20"/>
        <v>836034.66606081522</v>
      </c>
      <c r="J101" s="94">
        <v>0.79668099999999997</v>
      </c>
      <c r="K101" s="95">
        <f t="shared" si="17"/>
        <v>7.9668099999999993E-4</v>
      </c>
      <c r="L101" s="96">
        <v>0.6</v>
      </c>
      <c r="M101" s="104">
        <f t="shared" si="18"/>
        <v>6.3519839585414859</v>
      </c>
      <c r="N101" s="104">
        <f t="shared" si="19"/>
        <v>573.62963825097142</v>
      </c>
      <c r="O101" s="105">
        <v>590.55637303100809</v>
      </c>
      <c r="P101" s="113">
        <v>0.76017929415248209</v>
      </c>
      <c r="Q101" s="104">
        <f t="shared" si="21"/>
        <v>11.671114664702021</v>
      </c>
      <c r="R101" s="106">
        <f t="shared" si="14"/>
        <v>117138.78000007624</v>
      </c>
      <c r="S101" s="107">
        <v>117770.73200199161</v>
      </c>
      <c r="T101" s="111"/>
      <c r="U101" s="104">
        <f t="shared" si="15"/>
        <v>-9.4067908233441688E-2</v>
      </c>
      <c r="V101" s="104">
        <f t="shared" si="16"/>
        <v>-0.63015826545007592</v>
      </c>
    </row>
    <row r="102" spans="1:22">
      <c r="A102" s="44" t="s">
        <v>145</v>
      </c>
      <c r="B102" s="90">
        <v>127100</v>
      </c>
      <c r="C102" s="91">
        <f t="shared" si="13"/>
        <v>1.1797672308108798E-2</v>
      </c>
      <c r="D102" s="90">
        <v>52663</v>
      </c>
      <c r="E102" s="91">
        <f t="shared" si="22"/>
        <v>0.1014598845478123</v>
      </c>
      <c r="F102" s="44">
        <v>117785.32</v>
      </c>
      <c r="G102" s="44">
        <v>43748.375999999997</v>
      </c>
      <c r="H102" s="92">
        <v>4.0770553052425385E-2</v>
      </c>
      <c r="I102" s="103">
        <f t="shared" si="20"/>
        <v>845697.44635451608</v>
      </c>
      <c r="J102" s="94">
        <v>0.79527599999999998</v>
      </c>
      <c r="K102" s="95">
        <f t="shared" si="17"/>
        <v>7.9527600000000003E-4</v>
      </c>
      <c r="L102" s="96">
        <v>0.6</v>
      </c>
      <c r="M102" s="104">
        <f t="shared" si="18"/>
        <v>6.354891778816536</v>
      </c>
      <c r="N102" s="104">
        <f t="shared" si="19"/>
        <v>575.30007763518017</v>
      </c>
      <c r="O102" s="105">
        <v>593.64997168188154</v>
      </c>
      <c r="P102" s="113">
        <v>0.75691003323459916</v>
      </c>
      <c r="Q102" s="104">
        <f t="shared" si="21"/>
        <v>11.678350123454024</v>
      </c>
      <c r="R102" s="106">
        <f t="shared" si="14"/>
        <v>117989.40643628636</v>
      </c>
      <c r="S102" s="107">
        <v>118408.06647810953</v>
      </c>
      <c r="T102" s="111"/>
      <c r="U102" s="104">
        <f t="shared" si="15"/>
        <v>-0.17297013558293939</v>
      </c>
      <c r="V102" s="104">
        <f t="shared" si="16"/>
        <v>-0.52593247794029407</v>
      </c>
    </row>
    <row r="103" spans="1:22">
      <c r="A103" s="44" t="s">
        <v>146</v>
      </c>
      <c r="B103" s="90">
        <v>110891</v>
      </c>
      <c r="C103" s="91">
        <f t="shared" si="13"/>
        <v>2.2385513954067182E-2</v>
      </c>
      <c r="D103" s="90">
        <v>40484</v>
      </c>
      <c r="E103" s="91">
        <f t="shared" si="22"/>
        <v>0.31813889883762569</v>
      </c>
      <c r="F103" s="44">
        <v>118165.3</v>
      </c>
      <c r="G103" s="92">
        <v>41833.752999999997</v>
      </c>
      <c r="H103" s="92">
        <v>4.0770553052425385E-2</v>
      </c>
      <c r="I103" s="101">
        <f t="shared" si="20"/>
        <v>853051.64675161859</v>
      </c>
      <c r="J103" s="94">
        <v>0.69184199999999996</v>
      </c>
      <c r="K103" s="95">
        <f>(J103/1000)</f>
        <v>6.9184199999999991E-4</v>
      </c>
      <c r="L103" s="96">
        <v>0.6</v>
      </c>
      <c r="M103" s="104">
        <f t="shared" si="18"/>
        <v>6.4382482257825409</v>
      </c>
      <c r="N103" s="104">
        <f>(EXP(M103))*(1+E4/4)</f>
        <v>625.31043710027188</v>
      </c>
      <c r="O103" s="105">
        <v>596.95756886480535</v>
      </c>
      <c r="P103" s="113">
        <v>0.75355156848488469</v>
      </c>
      <c r="Q103" s="104">
        <f>LN(O103)+LN(P103)*(L103)+LN(I103)*(1-L103)</f>
        <v>11.684701490875502</v>
      </c>
      <c r="R103" s="106">
        <f t="shared" si="14"/>
        <v>118741.18539337319</v>
      </c>
      <c r="S103" s="107">
        <v>119088.80461046504</v>
      </c>
      <c r="T103" s="111"/>
      <c r="U103" s="104">
        <f t="shared" si="15"/>
        <v>-0.48499212085962862</v>
      </c>
      <c r="V103" s="104">
        <f t="shared" si="16"/>
        <v>-0.77547559024191415</v>
      </c>
    </row>
    <row r="104" spans="1:22">
      <c r="A104" s="44" t="s">
        <v>147</v>
      </c>
      <c r="B104" s="90">
        <v>118565</v>
      </c>
      <c r="C104" s="91">
        <f t="shared" si="13"/>
        <v>3.9888788513993578E-2</v>
      </c>
      <c r="D104" s="90">
        <v>40502</v>
      </c>
      <c r="E104" s="91">
        <f t="shared" si="22"/>
        <v>0.41521366924071423</v>
      </c>
      <c r="F104" s="44">
        <v>119194.94</v>
      </c>
      <c r="G104" s="92">
        <v>43429.82</v>
      </c>
      <c r="H104" s="92">
        <v>4.0770553052425385E-2</v>
      </c>
      <c r="I104" s="101">
        <f t="shared" si="20"/>
        <v>861702.07933127286</v>
      </c>
      <c r="J104" s="94">
        <v>0.69317700000000004</v>
      </c>
      <c r="K104" s="95">
        <f>(J104/1000)</f>
        <v>6.9317700000000001E-4</v>
      </c>
      <c r="L104" s="96">
        <v>0.6</v>
      </c>
      <c r="M104" s="104">
        <f t="shared" si="18"/>
        <v>6.4417315740243737</v>
      </c>
      <c r="N104" s="104">
        <f>(EXP(M104))*(1+E4/4)</f>
        <v>627.49240918998078</v>
      </c>
      <c r="O104" s="105">
        <v>600.40113181652919</v>
      </c>
      <c r="P104" s="113">
        <v>0.75025697860878893</v>
      </c>
      <c r="Q104" s="104">
        <f t="shared" si="21"/>
        <v>11.691860238778217</v>
      </c>
      <c r="R104" s="106">
        <f t="shared" si="14"/>
        <v>119594.27348333283</v>
      </c>
      <c r="S104" s="107">
        <v>119813.62146086921</v>
      </c>
      <c r="T104" s="111"/>
      <c r="U104" s="104">
        <f t="shared" si="15"/>
        <v>-0.33390686000402958</v>
      </c>
      <c r="V104" s="104">
        <f t="shared" si="16"/>
        <v>-0.51636988626645453</v>
      </c>
    </row>
    <row r="105" spans="1:22">
      <c r="A105" s="44" t="s">
        <v>148</v>
      </c>
      <c r="B105" s="90">
        <v>118656</v>
      </c>
      <c r="C105" s="91">
        <f t="shared" si="13"/>
        <v>1.953910398515224E-2</v>
      </c>
      <c r="D105" s="90">
        <v>36819</v>
      </c>
      <c r="E105" s="91">
        <f t="shared" si="22"/>
        <v>8.9545172077057478E-2</v>
      </c>
      <c r="F105" s="44">
        <v>119505.64</v>
      </c>
      <c r="G105" s="92">
        <v>41460.498</v>
      </c>
      <c r="H105" s="92">
        <v>4.0770553052425385E-2</v>
      </c>
      <c r="I105" s="101">
        <f t="shared" si="20"/>
        <v>868030.5069905119</v>
      </c>
      <c r="J105" s="94">
        <v>0.69306199999999996</v>
      </c>
      <c r="K105" s="95">
        <f>(J105/1000)</f>
        <v>6.9306199999999993E-4</v>
      </c>
      <c r="L105" s="96">
        <v>0.6</v>
      </c>
      <c r="M105" s="104">
        <f t="shared" si="18"/>
        <v>6.4415074807845452</v>
      </c>
      <c r="N105" s="104">
        <f>(EXP(M105))*(1+E4/4)</f>
        <v>627.35180813749867</v>
      </c>
      <c r="O105" s="105">
        <v>603.92034831644992</v>
      </c>
      <c r="P105" s="113">
        <v>0.74714077383145905</v>
      </c>
      <c r="Q105" s="104">
        <f>LN(O105)+LN(P105)*L105+LN(I105)*(1-L105)</f>
        <v>11.698134175709422</v>
      </c>
      <c r="R105" s="106">
        <f t="shared" si="14"/>
        <v>120346.95909457702</v>
      </c>
      <c r="S105" s="107">
        <v>120582.61490075155</v>
      </c>
      <c r="T105" s="111"/>
      <c r="U105" s="104">
        <f t="shared" si="15"/>
        <v>-0.69907798327987214</v>
      </c>
      <c r="V105" s="104">
        <f t="shared" si="16"/>
        <v>-0.89314276493173139</v>
      </c>
    </row>
    <row r="106" spans="1:22">
      <c r="A106" s="44" t="s">
        <v>149</v>
      </c>
      <c r="B106" s="90">
        <v>127853</v>
      </c>
      <c r="C106" s="91">
        <f t="shared" si="13"/>
        <v>5.9244689221085167E-3</v>
      </c>
      <c r="D106" s="90">
        <v>49890</v>
      </c>
      <c r="E106" s="91">
        <f t="shared" si="22"/>
        <v>-5.2655564627917095E-2</v>
      </c>
      <c r="F106" s="44">
        <v>120015.12</v>
      </c>
      <c r="G106" s="97">
        <v>41173.264999999999</v>
      </c>
      <c r="H106" s="92">
        <v>4.0770553052425385E-2</v>
      </c>
      <c r="I106" s="101">
        <f>I105*(1-H106)+G106</f>
        <v>873813.68815413152</v>
      </c>
      <c r="J106" s="94">
        <v>0.69005300000000003</v>
      </c>
      <c r="K106" s="95">
        <f>(J106/1000)</f>
        <v>6.9005300000000004E-4</v>
      </c>
      <c r="L106" s="96">
        <v>0.6</v>
      </c>
      <c r="M106" s="104">
        <f t="shared" si="18"/>
        <v>6.4457161532887222</v>
      </c>
      <c r="N106" s="104">
        <f>(EXP(M106))*(1+E4/4)</f>
        <v>629.99769036321425</v>
      </c>
      <c r="O106" s="105">
        <v>607.47183819232282</v>
      </c>
      <c r="P106" s="113">
        <v>0.74428178939141176</v>
      </c>
      <c r="Q106" s="104">
        <f t="shared" si="21"/>
        <v>11.704353461436501</v>
      </c>
      <c r="R106" s="106">
        <f t="shared" si="14"/>
        <v>121097.76353317463</v>
      </c>
      <c r="S106" s="107">
        <v>121395.49612562852</v>
      </c>
      <c r="T106" s="111"/>
      <c r="U106" s="104">
        <f>(F106/R106-1)*100</f>
        <v>-0.89402438293424424</v>
      </c>
      <c r="V106" s="104">
        <f t="shared" si="16"/>
        <v>-1.1370900648571158</v>
      </c>
    </row>
    <row r="107" spans="1:22">
      <c r="A107" s="199" t="s">
        <v>245</v>
      </c>
      <c r="B107" s="200">
        <v>114106.83900000001</v>
      </c>
      <c r="C107" s="201">
        <v>2.9000000000000001E-2</v>
      </c>
      <c r="D107" s="200">
        <v>42548.684000000001</v>
      </c>
      <c r="E107" s="201">
        <v>5.0999999999999997E-2</v>
      </c>
      <c r="F107" s="200">
        <v>121081.24</v>
      </c>
      <c r="G107" s="200">
        <v>43757.19</v>
      </c>
      <c r="H107" s="202">
        <v>4.0770553052425385E-2</v>
      </c>
      <c r="I107" s="203">
        <v>879627.02562012</v>
      </c>
      <c r="J107" s="204">
        <v>0.71323364299999992</v>
      </c>
      <c r="K107" s="199"/>
      <c r="L107" s="199">
        <v>0.6</v>
      </c>
      <c r="M107" s="204">
        <f t="shared" si="18"/>
        <v>6.4320834327333101</v>
      </c>
      <c r="N107" s="207">
        <f>EXP(M107)*(1+E4/4)</f>
        <v>621.46738564363034</v>
      </c>
      <c r="O107" s="204">
        <v>611.02686593429132</v>
      </c>
      <c r="P107" s="204">
        <v>0.74172506129351912</v>
      </c>
      <c r="Q107" s="204">
        <f t="shared" si="21"/>
        <v>11.710776248380334</v>
      </c>
      <c r="R107" s="204">
        <f t="shared" si="14"/>
        <v>121878.05179798113</v>
      </c>
      <c r="S107" s="204">
        <v>122251.30322170361</v>
      </c>
      <c r="T107" s="204">
        <f t="shared" ref="T107:T118" si="23">(F107/R107-1)*100</f>
        <v>-0.65377792492274933</v>
      </c>
      <c r="U107" s="204">
        <f t="shared" ref="U107:U118" si="24">(F107/R107-1)*100</f>
        <v>-0.65377792492274933</v>
      </c>
      <c r="V107" s="204">
        <f t="shared" si="16"/>
        <v>-0.95709672688043534</v>
      </c>
    </row>
    <row r="108" spans="1:22">
      <c r="A108" s="199" t="s">
        <v>246</v>
      </c>
      <c r="B108" s="200">
        <v>122003.38499999999</v>
      </c>
      <c r="C108" s="205">
        <v>2.8999999999999915E-2</v>
      </c>
      <c r="D108" s="200">
        <v>42567.601999999999</v>
      </c>
      <c r="E108" s="205">
        <v>5.0999999999999934E-2</v>
      </c>
      <c r="F108" s="200">
        <v>122006.53</v>
      </c>
      <c r="G108" s="200">
        <v>45214.550999999999</v>
      </c>
      <c r="H108" s="202">
        <v>4.0770553052425385E-2</v>
      </c>
      <c r="I108" s="203">
        <v>886331.74730572768</v>
      </c>
      <c r="J108" s="204">
        <v>0.71528724293300006</v>
      </c>
      <c r="K108" s="201"/>
      <c r="L108" s="199">
        <v>0.6</v>
      </c>
      <c r="M108" s="204">
        <f t="shared" si="18"/>
        <v>6.4349338571785797</v>
      </c>
      <c r="N108" s="207">
        <f>EXP(M108)*(1+E4/4)</f>
        <v>623.2413585583721</v>
      </c>
      <c r="O108" s="204">
        <v>614.57077469010562</v>
      </c>
      <c r="P108" s="204">
        <v>0.7394817325492834</v>
      </c>
      <c r="Q108" s="204">
        <f t="shared" si="21"/>
        <v>11.717779313917749</v>
      </c>
      <c r="R108" s="204">
        <f t="shared" si="14"/>
        <v>122734.56739923972</v>
      </c>
      <c r="S108" s="204">
        <v>123148.21154010179</v>
      </c>
      <c r="T108" s="204">
        <f t="shared" si="23"/>
        <v>-0.59318040114282322</v>
      </c>
      <c r="U108" s="204">
        <f t="shared" si="24"/>
        <v>-0.59318040114282322</v>
      </c>
      <c r="V108" s="204">
        <f t="shared" si="16"/>
        <v>-0.92707926962465326</v>
      </c>
    </row>
    <row r="109" spans="1:22">
      <c r="A109" s="199" t="s">
        <v>247</v>
      </c>
      <c r="B109" s="200">
        <v>122097.024</v>
      </c>
      <c r="C109" s="205">
        <v>2.9000000000000137E-2</v>
      </c>
      <c r="D109" s="200">
        <v>38696.769</v>
      </c>
      <c r="E109" s="205">
        <v>5.0999999999999934E-2</v>
      </c>
      <c r="F109" s="200">
        <v>123059.84</v>
      </c>
      <c r="G109" s="200">
        <v>43567.118000000002</v>
      </c>
      <c r="H109" s="202">
        <v>4.0770553052425385E-2</v>
      </c>
      <c r="I109" s="203">
        <v>888892.28078015056</v>
      </c>
      <c r="J109" s="204">
        <v>0.71523590453092301</v>
      </c>
      <c r="K109" s="206"/>
      <c r="L109" s="199">
        <v>0.6</v>
      </c>
      <c r="M109" s="204">
        <f t="shared" si="18"/>
        <v>6.4424191974225229</v>
      </c>
      <c r="N109" s="207">
        <f>EXP(M109)*(1+E4/4)</f>
        <v>627.92403603405251</v>
      </c>
      <c r="O109" s="204">
        <v>618.09543293233412</v>
      </c>
      <c r="P109" s="204">
        <v>0.73754513903377328</v>
      </c>
      <c r="Q109" s="204">
        <f t="shared" si="21"/>
        <v>11.723078610724755</v>
      </c>
      <c r="R109" s="204">
        <f t="shared" si="14"/>
        <v>123386.70069819267</v>
      </c>
      <c r="S109" s="204">
        <v>124083.66514243445</v>
      </c>
      <c r="T109" s="204">
        <f t="shared" si="23"/>
        <v>-0.26490756000695503</v>
      </c>
      <c r="U109" s="204">
        <f t="shared" si="24"/>
        <v>-0.26490756000695503</v>
      </c>
      <c r="V109" s="204">
        <f t="shared" si="16"/>
        <v>-0.82510872100627353</v>
      </c>
    </row>
    <row r="110" spans="1:22">
      <c r="A110" s="199" t="s">
        <v>248</v>
      </c>
      <c r="B110" s="200">
        <v>131560.73699999999</v>
      </c>
      <c r="C110" s="205">
        <v>2.8999999999999915E-2</v>
      </c>
      <c r="D110" s="200">
        <v>52434.39</v>
      </c>
      <c r="E110" s="205">
        <v>5.0999999999999934E-2</v>
      </c>
      <c r="F110" s="200">
        <v>124203.56</v>
      </c>
      <c r="G110" s="200">
        <v>43839.449000000001</v>
      </c>
      <c r="H110" s="202">
        <v>4.0770553052425385E-2</v>
      </c>
      <c r="I110" s="203">
        <v>905086.04088871204</v>
      </c>
      <c r="J110" s="204">
        <v>0.71222531304045866</v>
      </c>
      <c r="K110" s="199"/>
      <c r="L110" s="199">
        <v>0.6</v>
      </c>
      <c r="M110" s="204">
        <f t="shared" si="18"/>
        <v>6.4469795751679264</v>
      </c>
      <c r="N110" s="207">
        <f>EXP(M110)*(1+E4/4)</f>
        <v>630.79414625302161</v>
      </c>
      <c r="O110" s="204">
        <v>621.5981282484629</v>
      </c>
      <c r="P110" s="204">
        <v>0.7358934950660474</v>
      </c>
      <c r="Q110" s="204">
        <f t="shared" si="21"/>
        <v>11.734605977143779</v>
      </c>
      <c r="R110" s="204">
        <f t="shared" si="14"/>
        <v>124817.25382242005</v>
      </c>
      <c r="S110" s="204">
        <v>125054.39453935038</v>
      </c>
      <c r="T110" s="204">
        <f t="shared" si="23"/>
        <v>-0.49167387009906305</v>
      </c>
      <c r="U110" s="204">
        <f t="shared" si="24"/>
        <v>-0.49167387009906305</v>
      </c>
      <c r="V110" s="204">
        <f t="shared" si="16"/>
        <v>-0.68037156349803896</v>
      </c>
    </row>
    <row r="111" spans="1:22">
      <c r="A111" s="199" t="s">
        <v>249</v>
      </c>
      <c r="B111" s="200">
        <v>118785.21939900001</v>
      </c>
      <c r="C111" s="201">
        <v>4.1000000000000002E-2</v>
      </c>
      <c r="D111" s="200">
        <v>45867.481352000003</v>
      </c>
      <c r="E111" s="201">
        <v>7.8E-2</v>
      </c>
      <c r="F111" s="200">
        <v>125504.29</v>
      </c>
      <c r="G111" s="200">
        <v>46979.576999999997</v>
      </c>
      <c r="H111" s="202">
        <v>4.0770553052425385E-2</v>
      </c>
      <c r="I111" s="203">
        <v>914052.66379364918</v>
      </c>
      <c r="J111" s="204">
        <v>0.74033652143399986</v>
      </c>
      <c r="K111" s="199"/>
      <c r="L111" s="199">
        <v>0.6</v>
      </c>
      <c r="M111" s="204">
        <f t="shared" si="18"/>
        <v>6.4302280955904578</v>
      </c>
      <c r="N111" s="207">
        <f>EXP(M111)*(1+E4/4)</f>
        <v>620.31542308987878</v>
      </c>
      <c r="O111" s="204">
        <v>625.08229110291666</v>
      </c>
      <c r="P111" s="204">
        <v>0.73449107169360006</v>
      </c>
      <c r="Q111" s="204">
        <f t="shared" si="21"/>
        <v>11.742994230516423</v>
      </c>
      <c r="R111" s="204">
        <f t="shared" si="14"/>
        <v>125868.65612224408</v>
      </c>
      <c r="S111" s="204">
        <v>126056.49035078441</v>
      </c>
      <c r="T111" s="204">
        <f t="shared" si="23"/>
        <v>-0.28948122071805749</v>
      </c>
      <c r="U111" s="204">
        <f t="shared" si="24"/>
        <v>-0.28948122071805749</v>
      </c>
      <c r="V111" s="204">
        <f t="shared" si="16"/>
        <v>-0.43805784949888515</v>
      </c>
    </row>
    <row r="112" spans="1:22">
      <c r="A112" s="199" t="s">
        <v>250</v>
      </c>
      <c r="B112" s="200">
        <v>127005.523785</v>
      </c>
      <c r="C112" s="205">
        <v>4.0999999999999925E-2</v>
      </c>
      <c r="D112" s="200">
        <v>45887.874956</v>
      </c>
      <c r="E112" s="205">
        <v>7.8000000000000069E-2</v>
      </c>
      <c r="F112" s="200">
        <v>126830.78</v>
      </c>
      <c r="G112" s="200">
        <v>48358.239000000001</v>
      </c>
      <c r="H112" s="202">
        <v>4.0770553052425385E-2</v>
      </c>
      <c r="I112" s="203">
        <v>922674.10612773942</v>
      </c>
      <c r="J112" s="204">
        <v>0.74246815816445411</v>
      </c>
      <c r="K112" s="199"/>
      <c r="L112" s="199">
        <v>0.6</v>
      </c>
      <c r="M112" s="204">
        <f t="shared" si="18"/>
        <v>6.4352616643106764</v>
      </c>
      <c r="N112" s="207">
        <f>EXP(M112)*(1+E4/4)</f>
        <v>623.44569501036847</v>
      </c>
      <c r="O112" s="204">
        <v>628.55709947137302</v>
      </c>
      <c r="P112" s="204">
        <v>0.73328734735015977</v>
      </c>
      <c r="Q112" s="204">
        <f t="shared" si="21"/>
        <v>11.751308839245805</v>
      </c>
      <c r="R112" s="204">
        <f t="shared" si="14"/>
        <v>126919.56765393399</v>
      </c>
      <c r="S112" s="204">
        <v>127085.51142508427</v>
      </c>
      <c r="T112" s="204">
        <f t="shared" si="23"/>
        <v>-6.9955843354341241E-2</v>
      </c>
      <c r="U112" s="204">
        <f t="shared" si="24"/>
        <v>-6.9955843354341241E-2</v>
      </c>
      <c r="V112" s="204">
        <f t="shared" si="16"/>
        <v>-0.2004409646920613</v>
      </c>
    </row>
    <row r="113" spans="1:22">
      <c r="A113" s="199" t="s">
        <v>251</v>
      </c>
      <c r="B113" s="200">
        <v>127103.001984</v>
      </c>
      <c r="C113" s="205">
        <v>4.0999999999999925E-2</v>
      </c>
      <c r="D113" s="200">
        <v>41715.116982</v>
      </c>
      <c r="E113" s="205">
        <v>7.8000000000000069E-2</v>
      </c>
      <c r="F113" s="200">
        <v>128249.2</v>
      </c>
      <c r="G113" s="200">
        <v>46753.300999999999</v>
      </c>
      <c r="H113" s="202">
        <v>4.0770553052425385E-2</v>
      </c>
      <c r="I113" s="203">
        <v>926771.28951575921</v>
      </c>
      <c r="J113" s="204">
        <v>0.74241486890309805</v>
      </c>
      <c r="K113" s="199"/>
      <c r="L113" s="199">
        <v>0.6</v>
      </c>
      <c r="M113" s="204">
        <f t="shared" si="18"/>
        <v>6.4446539297372105</v>
      </c>
      <c r="N113" s="207">
        <f>EXP(M113)*(1+E4/4)</f>
        <v>629.32884727244323</v>
      </c>
      <c r="O113" s="204">
        <v>632.02875203700148</v>
      </c>
      <c r="P113" s="204">
        <v>0.73223545387554267</v>
      </c>
      <c r="Q113" s="204">
        <f t="shared" si="21"/>
        <v>11.757727828968719</v>
      </c>
      <c r="R113" s="204">
        <f t="shared" si="14"/>
        <v>127736.88341873947</v>
      </c>
      <c r="S113" s="204">
        <v>128136.67148537845</v>
      </c>
      <c r="T113" s="204">
        <f t="shared" si="23"/>
        <v>0.40107177155801477</v>
      </c>
      <c r="U113" s="204">
        <f t="shared" si="24"/>
        <v>0.40107177155801477</v>
      </c>
      <c r="V113" s="204">
        <f t="shared" si="16"/>
        <v>8.7819133521338522E-2</v>
      </c>
    </row>
    <row r="114" spans="1:22">
      <c r="A114" s="199" t="s">
        <v>252</v>
      </c>
      <c r="B114" s="200">
        <v>136954.72721700001</v>
      </c>
      <c r="C114" s="205">
        <v>4.1000000000000147E-2</v>
      </c>
      <c r="D114" s="200">
        <v>56524.272420000001</v>
      </c>
      <c r="E114" s="205">
        <v>7.8000000000000069E-2</v>
      </c>
      <c r="F114" s="200">
        <v>129684.38</v>
      </c>
      <c r="G114" s="200">
        <v>47957.932000000001</v>
      </c>
      <c r="H114" s="202">
        <v>4.0770553052425385E-2</v>
      </c>
      <c r="I114" s="203">
        <v>945510.58390909235</v>
      </c>
      <c r="J114" s="204">
        <v>0.73928987493599607</v>
      </c>
      <c r="K114" s="199"/>
      <c r="L114" s="199">
        <v>0.6</v>
      </c>
      <c r="M114" s="204">
        <f t="shared" si="18"/>
        <v>6.4503058960789952</v>
      </c>
      <c r="N114" s="207">
        <f>EXP(M114)*(1+E4/4)</f>
        <v>632.8958635675541</v>
      </c>
      <c r="O114" s="204">
        <v>635.50025285518336</v>
      </c>
      <c r="P114" s="204">
        <v>0.7312942611163239</v>
      </c>
      <c r="Q114" s="204">
        <f t="shared" si="21"/>
        <v>11.770441020365601</v>
      </c>
      <c r="R114" s="204">
        <f t="shared" si="14"/>
        <v>129371.1935024444</v>
      </c>
      <c r="S114" s="204">
        <v>129205.02504765475</v>
      </c>
      <c r="T114" s="204">
        <f t="shared" si="23"/>
        <v>0.24208364248390346</v>
      </c>
      <c r="U114" s="204">
        <f t="shared" si="24"/>
        <v>0.24208364248390346</v>
      </c>
      <c r="V114" s="204">
        <f t="shared" si="16"/>
        <v>0.37100333533348628</v>
      </c>
    </row>
    <row r="115" spans="1:22">
      <c r="A115" s="199" t="s">
        <v>253</v>
      </c>
      <c r="B115" s="200">
        <v>124724.48036895001</v>
      </c>
      <c r="C115" s="201">
        <v>0.05</v>
      </c>
      <c r="D115" s="200">
        <v>49766.217266920001</v>
      </c>
      <c r="E115" s="201">
        <v>8.5000000000000006E-2</v>
      </c>
      <c r="F115" s="200">
        <v>131638.76</v>
      </c>
      <c r="G115" s="200">
        <v>50843.773000000001</v>
      </c>
      <c r="H115" s="202">
        <v>4.0770553052425385E-2</v>
      </c>
      <c r="I115" s="203">
        <v>956727.81175311701</v>
      </c>
      <c r="J115" s="207">
        <v>0.74033652143399986</v>
      </c>
      <c r="K115" s="199"/>
      <c r="L115" s="199">
        <v>0.6</v>
      </c>
      <c r="M115" s="204">
        <f t="shared" si="18"/>
        <v>6.4596973611601536</v>
      </c>
      <c r="N115" s="207">
        <f>EXP(M115)*(1+E4/4)</f>
        <v>638.86768113573601</v>
      </c>
      <c r="O115" s="204">
        <v>638.97291854082209</v>
      </c>
      <c r="P115" s="204">
        <v>0.73042900105347086</v>
      </c>
      <c r="Q115" s="204">
        <f t="shared" si="21"/>
        <v>11.779897810313649</v>
      </c>
      <c r="R115" s="204">
        <f t="shared" si="14"/>
        <v>130600.43287300447</v>
      </c>
      <c r="S115" s="204">
        <v>130285.69695822262</v>
      </c>
      <c r="T115" s="204">
        <f t="shared" si="23"/>
        <v>0.79504110679726736</v>
      </c>
      <c r="U115" s="204">
        <f t="shared" si="24"/>
        <v>0.79504110679726736</v>
      </c>
      <c r="V115" s="204">
        <f t="shared" si="16"/>
        <v>1.0385353675555598</v>
      </c>
    </row>
    <row r="116" spans="1:22">
      <c r="A116" s="199" t="s">
        <v>254</v>
      </c>
      <c r="B116" s="200">
        <v>133355.79997425</v>
      </c>
      <c r="C116" s="205">
        <v>5.0000000000000044E-2</v>
      </c>
      <c r="D116" s="200">
        <v>49788.344327259998</v>
      </c>
      <c r="E116" s="205">
        <v>8.4999999999999964E-2</v>
      </c>
      <c r="F116" s="200">
        <v>133120.19</v>
      </c>
      <c r="G116" s="200">
        <v>52178.046000000002</v>
      </c>
      <c r="H116" s="202">
        <v>4.0770553052425385E-2</v>
      </c>
      <c r="I116" s="203">
        <v>967509.83407456579</v>
      </c>
      <c r="J116" s="207">
        <v>0.74246815816445411</v>
      </c>
      <c r="K116" s="199"/>
      <c r="L116" s="199">
        <v>0.6</v>
      </c>
      <c r="M116" s="204">
        <f t="shared" si="18"/>
        <v>6.4646805123477531</v>
      </c>
      <c r="N116" s="207">
        <f>EXP(M116)*(1+E4/4)</f>
        <v>642.05920068766841</v>
      </c>
      <c r="O116" s="204">
        <v>642.44643796551634</v>
      </c>
      <c r="P116" s="204">
        <v>0.72960990292658812</v>
      </c>
      <c r="Q116" s="204">
        <f t="shared" si="21"/>
        <v>11.789128635226756</v>
      </c>
      <c r="R116" s="204">
        <f t="shared" si="14"/>
        <v>131811.56387169077</v>
      </c>
      <c r="S116" s="204">
        <v>131374.1116602367</v>
      </c>
      <c r="T116" s="204">
        <f t="shared" si="23"/>
        <v>0.99280069962837114</v>
      </c>
      <c r="U116" s="204">
        <f t="shared" si="24"/>
        <v>0.99280069962837114</v>
      </c>
      <c r="V116" s="204">
        <f t="shared" si="16"/>
        <v>1.3290885987332635</v>
      </c>
    </row>
    <row r="117" spans="1:22">
      <c r="A117" s="199" t="s">
        <v>255</v>
      </c>
      <c r="B117" s="200">
        <v>133458.1520832</v>
      </c>
      <c r="C117" s="205">
        <v>5.0000000000000044E-2</v>
      </c>
      <c r="D117" s="200">
        <v>45260.901925469996</v>
      </c>
      <c r="E117" s="205">
        <v>8.4999999999999964E-2</v>
      </c>
      <c r="F117" s="200">
        <v>134489.4</v>
      </c>
      <c r="G117" s="200">
        <v>50383.993000000002</v>
      </c>
      <c r="H117" s="202">
        <v>4.0770553052425385E-2</v>
      </c>
      <c r="I117" s="203">
        <v>973324.82498115546</v>
      </c>
      <c r="J117" s="207">
        <v>0.74241486890309805</v>
      </c>
      <c r="K117" s="199"/>
      <c r="L117" s="199">
        <v>0.6</v>
      </c>
      <c r="M117" s="204">
        <f t="shared" si="18"/>
        <v>6.4725596486099892</v>
      </c>
      <c r="N117" s="207">
        <f>EXP(M117)*(1+E4/4)</f>
        <v>647.13805483533986</v>
      </c>
      <c r="O117" s="204">
        <v>645.92043422748668</v>
      </c>
      <c r="P117" s="204">
        <v>0.72881338817551811</v>
      </c>
      <c r="Q117" s="204">
        <f t="shared" si="21"/>
        <v>11.796263049173927</v>
      </c>
      <c r="R117" s="204">
        <f t="shared" si="14"/>
        <v>132755.3247185449</v>
      </c>
      <c r="S117" s="204">
        <v>132466.53926125276</v>
      </c>
      <c r="T117" s="204">
        <f t="shared" si="23"/>
        <v>1.3062190048734434</v>
      </c>
      <c r="U117" s="204">
        <f t="shared" si="24"/>
        <v>1.3062190048734434</v>
      </c>
      <c r="V117" s="204">
        <f t="shared" si="16"/>
        <v>1.5270729876604605</v>
      </c>
    </row>
    <row r="118" spans="1:22">
      <c r="A118" s="199" t="s">
        <v>256</v>
      </c>
      <c r="B118" s="200">
        <v>143802.46357784999</v>
      </c>
      <c r="C118" s="205">
        <v>4.9999999999999822E-2</v>
      </c>
      <c r="D118" s="200">
        <v>61328.835575700003</v>
      </c>
      <c r="E118" s="205">
        <v>8.4999999999999964E-2</v>
      </c>
      <c r="F118" s="200">
        <v>135759.23000000001</v>
      </c>
      <c r="G118" s="200">
        <v>52726.178999999996</v>
      </c>
      <c r="H118" s="202">
        <v>4.0770553052425385E-2</v>
      </c>
      <c r="I118" s="203">
        <v>994970.66914271866</v>
      </c>
      <c r="J118" s="207">
        <v>0.73928987493599607</v>
      </c>
      <c r="K118" s="199"/>
      <c r="L118" s="199">
        <v>0.6</v>
      </c>
      <c r="M118" s="204">
        <f t="shared" si="18"/>
        <v>6.4756899223274011</v>
      </c>
      <c r="N118" s="207">
        <f>EXP(M118)*(1+E4/4)</f>
        <v>649.16694791858026</v>
      </c>
      <c r="O118" s="204">
        <v>649.3942884016551</v>
      </c>
      <c r="P118" s="204">
        <v>0.72802391464962712</v>
      </c>
      <c r="Q118" s="204">
        <f t="shared" si="21"/>
        <v>11.809774650501208</v>
      </c>
      <c r="R118" s="204">
        <f t="shared" si="14"/>
        <v>134561.2346332829</v>
      </c>
      <c r="S118" s="204">
        <v>133560.34116778895</v>
      </c>
      <c r="T118" s="204">
        <f t="shared" si="23"/>
        <v>0.89029754370342218</v>
      </c>
      <c r="U118" s="204">
        <f t="shared" si="24"/>
        <v>0.89029754370342218</v>
      </c>
      <c r="V118" s="204">
        <f t="shared" si="16"/>
        <v>1.6463635934027998</v>
      </c>
    </row>
    <row r="119" spans="1:22">
      <c r="B119" s="54"/>
      <c r="C119" s="55"/>
      <c r="D119" s="54"/>
      <c r="E119" s="55"/>
      <c r="G119" s="60"/>
      <c r="H119" s="56"/>
      <c r="I119" s="57"/>
      <c r="J119" s="58"/>
      <c r="K119" s="59"/>
      <c r="M119" s="56"/>
      <c r="N119" s="56"/>
      <c r="O119" s="60"/>
      <c r="P119" s="66"/>
      <c r="Q119" s="56"/>
      <c r="R119" s="61"/>
      <c r="S119" s="52"/>
      <c r="U119" s="56"/>
      <c r="V119" s="56"/>
    </row>
    <row r="120" spans="1:22">
      <c r="B120" s="54"/>
      <c r="C120" s="55"/>
      <c r="D120" s="54"/>
      <c r="E120" s="55"/>
      <c r="G120" s="60"/>
      <c r="H120" s="56"/>
      <c r="I120" s="57"/>
      <c r="J120" s="58"/>
      <c r="K120" s="59"/>
      <c r="M120" s="56"/>
      <c r="N120" s="56"/>
      <c r="O120" s="60"/>
      <c r="P120" s="66"/>
      <c r="Q120" s="56"/>
      <c r="R120" s="61"/>
      <c r="S120" s="52"/>
      <c r="U120" s="56"/>
      <c r="V120" s="56"/>
    </row>
    <row r="121" spans="1:22">
      <c r="B121" s="54"/>
      <c r="C121" s="55"/>
      <c r="D121" s="54"/>
      <c r="E121" s="55"/>
      <c r="G121" s="60"/>
      <c r="H121" s="56"/>
      <c r="I121" s="57"/>
      <c r="J121" s="58"/>
      <c r="K121" s="59"/>
      <c r="M121" s="56"/>
      <c r="N121" s="56"/>
      <c r="O121" s="60"/>
      <c r="P121" s="66"/>
      <c r="Q121" s="56"/>
      <c r="R121" s="61"/>
      <c r="S121" s="52"/>
      <c r="U121" s="56"/>
      <c r="V121" s="56"/>
    </row>
    <row r="122" spans="1:22">
      <c r="B122" s="54"/>
      <c r="C122" s="55"/>
      <c r="D122" s="54"/>
      <c r="E122" s="55"/>
      <c r="G122" s="60"/>
      <c r="H122" s="56"/>
      <c r="I122" s="57"/>
      <c r="J122" s="58"/>
      <c r="K122" s="59"/>
      <c r="M122" s="56"/>
      <c r="N122" s="56"/>
      <c r="O122" s="60"/>
      <c r="P122" s="66"/>
      <c r="Q122" s="56"/>
      <c r="R122" s="61"/>
      <c r="S122" s="52"/>
      <c r="U122" s="56"/>
      <c r="V122" s="56"/>
    </row>
    <row r="123" spans="1:22">
      <c r="B123" s="54"/>
      <c r="C123" s="55"/>
      <c r="D123" s="54"/>
      <c r="E123" s="55"/>
      <c r="G123" s="60"/>
      <c r="H123" s="56"/>
      <c r="I123" s="57"/>
      <c r="J123" s="58"/>
      <c r="K123" s="59"/>
      <c r="M123" s="56"/>
      <c r="N123" s="56"/>
      <c r="O123" s="60"/>
      <c r="P123" s="66"/>
      <c r="Q123" s="56"/>
      <c r="R123" s="61"/>
      <c r="S123" s="52"/>
      <c r="U123" s="56"/>
      <c r="V123" s="56"/>
    </row>
    <row r="124" spans="1:22">
      <c r="B124" s="54"/>
      <c r="C124" s="55"/>
      <c r="D124" s="54"/>
      <c r="E124" s="55"/>
      <c r="G124" s="60"/>
      <c r="H124" s="56"/>
      <c r="I124" s="57"/>
      <c r="J124" s="58"/>
      <c r="K124" s="59"/>
      <c r="M124" s="56"/>
      <c r="N124" s="56"/>
      <c r="O124" s="60"/>
      <c r="P124" s="66"/>
      <c r="Q124" s="56"/>
      <c r="R124" s="61"/>
      <c r="S124" s="52"/>
      <c r="U124" s="56"/>
      <c r="V124" s="56"/>
    </row>
    <row r="125" spans="1:22">
      <c r="B125" s="54"/>
      <c r="C125" s="55"/>
      <c r="D125" s="54"/>
      <c r="E125" s="55"/>
      <c r="G125" s="60"/>
      <c r="H125" s="56"/>
      <c r="I125" s="57"/>
      <c r="J125" s="58"/>
      <c r="K125" s="59"/>
      <c r="M125" s="56"/>
      <c r="N125" s="56"/>
      <c r="O125" s="60"/>
      <c r="P125" s="66"/>
      <c r="Q125" s="56"/>
      <c r="R125" s="61"/>
      <c r="S125" s="52"/>
      <c r="U125" s="56"/>
      <c r="V125" s="56"/>
    </row>
    <row r="127" spans="1:22">
      <c r="B127" s="54"/>
      <c r="C127" s="55"/>
      <c r="D127" s="54"/>
      <c r="E127" s="55"/>
      <c r="H127" s="56"/>
      <c r="I127" s="57"/>
      <c r="J127" s="58"/>
      <c r="K127" s="59"/>
      <c r="M127" s="56"/>
      <c r="N127" s="56"/>
      <c r="O127" s="60"/>
      <c r="P127" s="66"/>
      <c r="Q127" s="56"/>
      <c r="R127" s="61"/>
      <c r="S127" s="52"/>
      <c r="U127" s="56"/>
      <c r="V127" s="56"/>
    </row>
    <row r="128" spans="1:22" s="6" customFormat="1" ht="43.2">
      <c r="A128" s="98" t="s">
        <v>5</v>
      </c>
      <c r="B128" s="98" t="s">
        <v>53</v>
      </c>
      <c r="C128" s="98" t="s">
        <v>158</v>
      </c>
      <c r="D128" s="98" t="s">
        <v>27</v>
      </c>
      <c r="E128" s="98" t="s">
        <v>158</v>
      </c>
      <c r="F128" s="98" t="s">
        <v>159</v>
      </c>
      <c r="G128" s="98" t="s">
        <v>160</v>
      </c>
      <c r="H128" s="98" t="s">
        <v>9</v>
      </c>
      <c r="I128" s="98" t="s">
        <v>54</v>
      </c>
      <c r="J128" s="98" t="s">
        <v>55</v>
      </c>
      <c r="K128" s="98" t="s">
        <v>161</v>
      </c>
      <c r="L128" s="98" t="s">
        <v>56</v>
      </c>
      <c r="M128" s="98" t="s">
        <v>57</v>
      </c>
      <c r="N128" s="98" t="s">
        <v>58</v>
      </c>
      <c r="O128" s="98" t="s">
        <v>59</v>
      </c>
      <c r="P128" s="98" t="s">
        <v>65</v>
      </c>
      <c r="Q128" s="98" t="s">
        <v>60</v>
      </c>
      <c r="R128" s="98" t="s">
        <v>61</v>
      </c>
      <c r="S128" s="98" t="s">
        <v>62</v>
      </c>
      <c r="T128" s="98"/>
      <c r="U128" s="98" t="s">
        <v>63</v>
      </c>
      <c r="V128" s="98" t="s">
        <v>64</v>
      </c>
    </row>
    <row r="129" spans="1:22">
      <c r="A129" s="44" t="s">
        <v>150</v>
      </c>
      <c r="B129" s="90">
        <v>69617</v>
      </c>
      <c r="C129" s="91"/>
      <c r="D129" s="90">
        <v>15017</v>
      </c>
      <c r="E129" s="114"/>
      <c r="F129" s="44">
        <v>69056.156000000003</v>
      </c>
      <c r="G129" s="44">
        <v>13986.598</v>
      </c>
      <c r="H129" s="92">
        <v>3.7905246019363403E-2</v>
      </c>
      <c r="I129" s="102">
        <f>'Assumptions for PF'!$B$3*'Assessment on Prod.F'!B15</f>
        <v>409624.51788493275</v>
      </c>
      <c r="J129" s="94">
        <v>0.56134099999999998</v>
      </c>
      <c r="K129" s="95">
        <f>J129/1000</f>
        <v>5.6134100000000003E-4</v>
      </c>
      <c r="L129" s="96">
        <v>0.6</v>
      </c>
      <c r="M129" s="116">
        <f>LN(F129)-L129*LN(J129)-(1-L129)*LN(I129)</f>
        <v>6.3199328530283907</v>
      </c>
      <c r="N129" s="116">
        <f>EXP(M129)</f>
        <v>555.53568865988416</v>
      </c>
      <c r="O129" s="116">
        <f t="array" ref="O129:O232">[1]!HP(N129:N232,1600)</f>
        <v>543.07880281846394</v>
      </c>
      <c r="P129" s="116">
        <f t="array" ref="P129:P232">[1]!HP(J129:J232,1600)</f>
        <v>0.561946476694278</v>
      </c>
      <c r="Q129" s="116">
        <f>LN(O129)+LN(P129)*L129+LN(I129)*(1-L129)</f>
        <v>11.120643715420073</v>
      </c>
      <c r="R129" s="101">
        <f t="shared" ref="R129:R160" si="25">EXP(Q129)</f>
        <v>67551.376144760608</v>
      </c>
      <c r="S129" s="101">
        <f t="array" ref="S129:S232">[1]!HP(F129:F232,1600)</f>
        <v>67098.306226596877</v>
      </c>
      <c r="T129" s="101"/>
      <c r="U129" s="104">
        <f t="shared" ref="U129:U160" si="26">(F129/R129-1)*100</f>
        <v>2.2276079942689764</v>
      </c>
      <c r="V129" s="104">
        <f t="shared" ref="V129:V160" si="27">(F129/S129-1)*100</f>
        <v>2.9178825569624589</v>
      </c>
    </row>
    <row r="130" spans="1:22">
      <c r="A130" s="44" t="s">
        <v>151</v>
      </c>
      <c r="B130" s="90">
        <v>70967</v>
      </c>
      <c r="C130" s="91"/>
      <c r="D130" s="90">
        <v>14415</v>
      </c>
      <c r="E130" s="114"/>
      <c r="F130" s="44">
        <v>69471.797000000006</v>
      </c>
      <c r="G130" s="44">
        <v>13480.117</v>
      </c>
      <c r="H130" s="92">
        <v>3.7905246019363403E-2</v>
      </c>
      <c r="I130" s="101">
        <f>I129*(1-H130)+G130</f>
        <v>407577.7167589413</v>
      </c>
      <c r="J130" s="94">
        <v>0.56134099999999998</v>
      </c>
      <c r="K130" s="95">
        <f t="shared" ref="K130:K193" si="28">J130/1000</f>
        <v>5.6134100000000003E-4</v>
      </c>
      <c r="L130" s="96">
        <v>0.6</v>
      </c>
      <c r="M130" s="116">
        <f t="shared" ref="M130:M193" si="29">LN(F130)-L130*LN(J130)-(1-L130)*LN(I130)</f>
        <v>6.3279374158428388</v>
      </c>
      <c r="N130" s="116">
        <f t="shared" ref="N130:N193" si="30">EXP(M130)</f>
        <v>560.00035398375246</v>
      </c>
      <c r="O130" s="116">
        <v>545.9708841744764</v>
      </c>
      <c r="P130" s="116">
        <v>0.56063999567964451</v>
      </c>
      <c r="Q130" s="116">
        <f t="shared" ref="Q130:Q193" si="31">LN(O130)+LN(P130)*L130+LN(I130)*(1-L130)</f>
        <v>11.122554633387875</v>
      </c>
      <c r="R130" s="101">
        <f t="shared" si="25"/>
        <v>67680.58469733948</v>
      </c>
      <c r="S130" s="101">
        <v>67279.920686566795</v>
      </c>
      <c r="T130" s="101"/>
      <c r="U130" s="104">
        <f t="shared" si="26"/>
        <v>2.64656741762892</v>
      </c>
      <c r="V130" s="104">
        <f t="shared" si="27"/>
        <v>3.2578461613300469</v>
      </c>
    </row>
    <row r="131" spans="1:22">
      <c r="A131" s="44" t="s">
        <v>152</v>
      </c>
      <c r="B131" s="90">
        <v>70743</v>
      </c>
      <c r="C131" s="91"/>
      <c r="D131" s="90">
        <v>13210</v>
      </c>
      <c r="E131" s="114"/>
      <c r="F131" s="44">
        <v>71332.72</v>
      </c>
      <c r="G131" s="44">
        <v>17570.401000000002</v>
      </c>
      <c r="H131" s="92">
        <v>3.7905246019363403E-2</v>
      </c>
      <c r="I131" s="101">
        <f t="shared" ref="I131:I194" si="32">I130*(1-H131)+G131</f>
        <v>409698.78413318325</v>
      </c>
      <c r="J131" s="94">
        <v>0.56134099999999998</v>
      </c>
      <c r="K131" s="95">
        <f t="shared" si="28"/>
        <v>5.6134100000000003E-4</v>
      </c>
      <c r="L131" s="96">
        <v>0.6</v>
      </c>
      <c r="M131" s="116">
        <f t="shared" si="29"/>
        <v>6.3522954378263732</v>
      </c>
      <c r="N131" s="116">
        <f t="shared" si="30"/>
        <v>573.80833982995921</v>
      </c>
      <c r="O131" s="116">
        <v>548.87075108413978</v>
      </c>
      <c r="P131" s="116">
        <v>0.55933313624207714</v>
      </c>
      <c r="Q131" s="116">
        <f t="shared" si="31"/>
        <v>11.128527966253525</v>
      </c>
      <c r="R131" s="101">
        <f t="shared" si="25"/>
        <v>68086.073211537165</v>
      </c>
      <c r="S131" s="101">
        <v>67462.758802645083</v>
      </c>
      <c r="T131" s="101"/>
      <c r="U131" s="104">
        <f t="shared" si="26"/>
        <v>4.7684447572351685</v>
      </c>
      <c r="V131" s="104">
        <f t="shared" si="27"/>
        <v>5.7364407653058835</v>
      </c>
    </row>
    <row r="132" spans="1:22">
      <c r="A132" s="44" t="s">
        <v>153</v>
      </c>
      <c r="B132" s="90">
        <v>68467</v>
      </c>
      <c r="C132" s="91"/>
      <c r="D132" s="90">
        <v>11403</v>
      </c>
      <c r="E132" s="114"/>
      <c r="F132" s="44">
        <v>70369.73</v>
      </c>
      <c r="G132" s="44">
        <v>8971.5385999999999</v>
      </c>
      <c r="H132" s="92">
        <v>3.7905246019363403E-2</v>
      </c>
      <c r="I132" s="101">
        <f t="shared" si="32"/>
        <v>403140.58952678088</v>
      </c>
      <c r="J132" s="94">
        <v>0.56134099999999998</v>
      </c>
      <c r="K132" s="95">
        <f t="shared" si="28"/>
        <v>5.6134100000000003E-4</v>
      </c>
      <c r="L132" s="96">
        <v>0.6</v>
      </c>
      <c r="M132" s="116">
        <f t="shared" si="29"/>
        <v>6.3451582520898206</v>
      </c>
      <c r="N132" s="116">
        <f t="shared" si="30"/>
        <v>569.72754315608722</v>
      </c>
      <c r="O132" s="116">
        <v>551.7949575197357</v>
      </c>
      <c r="P132" s="116">
        <v>0.55802595808634214</v>
      </c>
      <c r="Q132" s="116">
        <f t="shared" si="31"/>
        <v>11.125982899805066</v>
      </c>
      <c r="R132" s="101">
        <f t="shared" si="25"/>
        <v>67913.009953161469</v>
      </c>
      <c r="S132" s="101">
        <v>67649.414153636011</v>
      </c>
      <c r="T132" s="101"/>
      <c r="U132" s="104">
        <f t="shared" si="26"/>
        <v>3.6174512785295265</v>
      </c>
      <c r="V132" s="104">
        <f t="shared" si="27"/>
        <v>4.0211964588281246</v>
      </c>
    </row>
    <row r="133" spans="1:22">
      <c r="A133" s="44" t="s">
        <v>154</v>
      </c>
      <c r="B133" s="90">
        <v>73289</v>
      </c>
      <c r="C133" s="91">
        <f t="shared" ref="C133:C180" si="33">B133/B129-1</f>
        <v>5.2745737391729053E-2</v>
      </c>
      <c r="D133" s="90">
        <v>17987</v>
      </c>
      <c r="E133" s="115">
        <f>D133/D129-1</f>
        <v>0.19777585403209685</v>
      </c>
      <c r="F133" s="44">
        <v>72522.183999999994</v>
      </c>
      <c r="G133" s="44">
        <v>16992.221000000001</v>
      </c>
      <c r="H133" s="92">
        <v>3.7905246019363403E-2</v>
      </c>
      <c r="I133" s="101">
        <f t="shared" si="32"/>
        <v>404851.6673003771</v>
      </c>
      <c r="J133" s="94">
        <v>0.56134099999999998</v>
      </c>
      <c r="K133" s="95">
        <f t="shared" si="28"/>
        <v>5.6134100000000003E-4</v>
      </c>
      <c r="L133" s="96">
        <v>0.6</v>
      </c>
      <c r="M133" s="116">
        <f t="shared" si="29"/>
        <v>6.3735933990669746</v>
      </c>
      <c r="N133" s="116">
        <f t="shared" si="30"/>
        <v>586.16035709772916</v>
      </c>
      <c r="O133" s="116">
        <v>554.77564344651182</v>
      </c>
      <c r="P133" s="116">
        <v>0.55671977583205434</v>
      </c>
      <c r="Q133" s="116">
        <f t="shared" si="31"/>
        <v>11.131658239481137</v>
      </c>
      <c r="R133" s="101">
        <f t="shared" si="25"/>
        <v>68299.535146471972</v>
      </c>
      <c r="S133" s="101">
        <v>67844.899044092192</v>
      </c>
      <c r="T133" s="101"/>
      <c r="U133" s="104">
        <f t="shared" si="26"/>
        <v>6.1825440604717619</v>
      </c>
      <c r="V133" s="104">
        <f t="shared" si="27"/>
        <v>6.8940849228297241</v>
      </c>
    </row>
    <row r="134" spans="1:22">
      <c r="A134" s="44" t="s">
        <v>155</v>
      </c>
      <c r="B134" s="90">
        <v>68059</v>
      </c>
      <c r="C134" s="91">
        <f t="shared" si="33"/>
        <v>-4.0976792030098519E-2</v>
      </c>
      <c r="D134" s="90">
        <v>13334</v>
      </c>
      <c r="E134" s="115">
        <f t="shared" ref="E134:E197" si="34">D134/D130-1</f>
        <v>-7.4991328477280628E-2</v>
      </c>
      <c r="F134" s="44">
        <v>65834.960999999996</v>
      </c>
      <c r="G134" s="44">
        <v>12355.531999999999</v>
      </c>
      <c r="H134" s="92">
        <v>3.7905246019363403E-2</v>
      </c>
      <c r="I134" s="101">
        <f t="shared" si="32"/>
        <v>401861.19725000684</v>
      </c>
      <c r="J134" s="94">
        <v>0.56134099999999998</v>
      </c>
      <c r="K134" s="95">
        <f t="shared" si="28"/>
        <v>5.6134100000000003E-4</v>
      </c>
      <c r="L134" s="96">
        <v>0.6</v>
      </c>
      <c r="M134" s="116">
        <f t="shared" si="29"/>
        <v>6.2798175163883965</v>
      </c>
      <c r="N134" s="116">
        <f t="shared" si="30"/>
        <v>533.69126502946563</v>
      </c>
      <c r="O134" s="116">
        <v>557.8561566957386</v>
      </c>
      <c r="P134" s="116">
        <v>0.55541797600002463</v>
      </c>
      <c r="Q134" s="116">
        <f t="shared" si="31"/>
        <v>11.132825353189766</v>
      </c>
      <c r="R134" s="101">
        <f t="shared" si="25"/>
        <v>68379.295005593114</v>
      </c>
      <c r="S134" s="101">
        <v>68055.925975970211</v>
      </c>
      <c r="T134" s="101"/>
      <c r="U134" s="104">
        <f t="shared" si="26"/>
        <v>-3.7209128953216042</v>
      </c>
      <c r="V134" s="104">
        <f t="shared" si="27"/>
        <v>-3.263440977578369</v>
      </c>
    </row>
    <row r="135" spans="1:22">
      <c r="A135" s="44" t="s">
        <v>156</v>
      </c>
      <c r="B135" s="90">
        <v>61742</v>
      </c>
      <c r="C135" s="91">
        <f t="shared" si="33"/>
        <v>-0.12723520348303008</v>
      </c>
      <c r="D135" s="90">
        <v>2943</v>
      </c>
      <c r="E135" s="115">
        <f t="shared" si="34"/>
        <v>-0.77721423164269487</v>
      </c>
      <c r="F135" s="44">
        <v>64534.065999999999</v>
      </c>
      <c r="G135" s="44">
        <v>7481.4564</v>
      </c>
      <c r="H135" s="92">
        <v>3.7905246019363403E-2</v>
      </c>
      <c r="I135" s="101">
        <f t="shared" si="32"/>
        <v>394110.00610260945</v>
      </c>
      <c r="J135" s="94">
        <v>0.56134099999999998</v>
      </c>
      <c r="K135" s="95">
        <f t="shared" si="28"/>
        <v>5.6134100000000003E-4</v>
      </c>
      <c r="L135" s="96">
        <v>0.6</v>
      </c>
      <c r="M135" s="116">
        <f t="shared" si="29"/>
        <v>6.2676504063417608</v>
      </c>
      <c r="N135" s="116">
        <f t="shared" si="30"/>
        <v>527.23712839383984</v>
      </c>
      <c r="O135" s="116">
        <v>561.09946054471845</v>
      </c>
      <c r="P135" s="116">
        <v>0.55412683337616886</v>
      </c>
      <c r="Q135" s="116">
        <f t="shared" si="31"/>
        <v>11.129435315983063</v>
      </c>
      <c r="R135" s="101">
        <f t="shared" si="25"/>
        <v>68147.879127201042</v>
      </c>
      <c r="S135" s="101">
        <v>68292.130754324084</v>
      </c>
      <c r="T135" s="101"/>
      <c r="U135" s="104">
        <f t="shared" si="26"/>
        <v>-5.3028988920633902</v>
      </c>
      <c r="V135" s="104">
        <f t="shared" si="27"/>
        <v>-5.5029250263744833</v>
      </c>
    </row>
    <row r="136" spans="1:22">
      <c r="A136" s="44" t="s">
        <v>157</v>
      </c>
      <c r="B136" s="90">
        <v>68122</v>
      </c>
      <c r="C136" s="91">
        <f t="shared" si="33"/>
        <v>-5.0389238611301401E-3</v>
      </c>
      <c r="D136" s="90">
        <v>16458</v>
      </c>
      <c r="E136" s="115">
        <f t="shared" si="34"/>
        <v>0.44330439358063667</v>
      </c>
      <c r="F136" s="44">
        <v>66583.490999999995</v>
      </c>
      <c r="G136" s="44">
        <v>13720.753000000001</v>
      </c>
      <c r="H136" s="92">
        <v>3.7905246019363403E-2</v>
      </c>
      <c r="I136" s="101">
        <f t="shared" si="32"/>
        <v>392891.92236259725</v>
      </c>
      <c r="J136" s="94">
        <v>0.56134099999999998</v>
      </c>
      <c r="K136" s="95">
        <f t="shared" si="28"/>
        <v>5.6134100000000003E-4</v>
      </c>
      <c r="L136" s="96">
        <v>0.6</v>
      </c>
      <c r="M136" s="116">
        <f t="shared" si="29"/>
        <v>6.3001520333802885</v>
      </c>
      <c r="N136" s="116">
        <f t="shared" si="30"/>
        <v>544.65470952821272</v>
      </c>
      <c r="O136" s="116">
        <v>564.55341521346236</v>
      </c>
      <c r="P136" s="116">
        <v>0.55285632463640288</v>
      </c>
      <c r="Q136" s="116">
        <f t="shared" si="31"/>
        <v>11.132956668379308</v>
      </c>
      <c r="R136" s="101">
        <f t="shared" si="25"/>
        <v>68388.27483525862</v>
      </c>
      <c r="S136" s="101">
        <v>68561.761081097851</v>
      </c>
      <c r="T136" s="101"/>
      <c r="U136" s="104">
        <f t="shared" si="26"/>
        <v>-2.6390252416897408</v>
      </c>
      <c r="V136" s="104">
        <f t="shared" si="27"/>
        <v>-2.8853839952533766</v>
      </c>
    </row>
    <row r="137" spans="1:22">
      <c r="A137" s="44" t="s">
        <v>66</v>
      </c>
      <c r="B137" s="90">
        <v>65391</v>
      </c>
      <c r="C137" s="91">
        <f t="shared" si="33"/>
        <v>-0.10776514893094458</v>
      </c>
      <c r="D137" s="90">
        <v>16199</v>
      </c>
      <c r="E137" s="115">
        <f t="shared" si="34"/>
        <v>-9.9405125924278637E-2</v>
      </c>
      <c r="F137" s="44">
        <v>67013.910999999905</v>
      </c>
      <c r="G137" s="44">
        <v>15487.614</v>
      </c>
      <c r="H137" s="92">
        <v>3.7216849625110626E-2</v>
      </c>
      <c r="I137" s="101">
        <f>I136*(1-H137)+G137</f>
        <v>393757.33676910785</v>
      </c>
      <c r="J137" s="94">
        <v>0.56134099999999998</v>
      </c>
      <c r="K137" s="95">
        <f t="shared" si="28"/>
        <v>5.6134100000000003E-4</v>
      </c>
      <c r="L137" s="96">
        <v>0.6</v>
      </c>
      <c r="M137" s="116">
        <f t="shared" si="29"/>
        <v>6.305715491872582</v>
      </c>
      <c r="N137" s="116">
        <f t="shared" si="30"/>
        <v>547.69331814616692</v>
      </c>
      <c r="O137" s="116">
        <v>568.24471696438707</v>
      </c>
      <c r="P137" s="116">
        <v>0.55162093531078249</v>
      </c>
      <c r="Q137" s="116">
        <f t="shared" si="31"/>
        <v>11.139011698471823</v>
      </c>
      <c r="R137" s="101">
        <f t="shared" si="25"/>
        <v>68803.624104514864</v>
      </c>
      <c r="S137" s="101">
        <v>68870.715867764098</v>
      </c>
      <c r="T137" s="101"/>
      <c r="U137" s="104">
        <f t="shared" si="26"/>
        <v>-2.6011901666637915</v>
      </c>
      <c r="V137" s="104">
        <f t="shared" si="27"/>
        <v>-2.6960731340870181</v>
      </c>
    </row>
    <row r="138" spans="1:22">
      <c r="A138" s="44" t="s">
        <v>67</v>
      </c>
      <c r="B138" s="90">
        <v>68527</v>
      </c>
      <c r="C138" s="91">
        <f t="shared" si="33"/>
        <v>6.8763866645116245E-3</v>
      </c>
      <c r="D138" s="90">
        <v>15398</v>
      </c>
      <c r="E138" s="115">
        <f t="shared" si="34"/>
        <v>0.15479226038698068</v>
      </c>
      <c r="F138" s="44">
        <v>67813.296000000002</v>
      </c>
      <c r="G138" s="44">
        <v>14378.123</v>
      </c>
      <c r="H138" s="92">
        <v>3.7216849625110626E-2</v>
      </c>
      <c r="I138" s="101">
        <f t="shared" si="32"/>
        <v>393481.05217778793</v>
      </c>
      <c r="J138" s="94">
        <v>0.56134099999999998</v>
      </c>
      <c r="K138" s="95">
        <f t="shared" si="28"/>
        <v>5.6134100000000003E-4</v>
      </c>
      <c r="L138" s="96">
        <v>0.6</v>
      </c>
      <c r="M138" s="116">
        <f t="shared" si="29"/>
        <v>6.3178543124255508</v>
      </c>
      <c r="N138" s="116">
        <f t="shared" si="30"/>
        <v>554.38218439269872</v>
      </c>
      <c r="O138" s="116">
        <v>572.18762536885595</v>
      </c>
      <c r="P138" s="116">
        <v>0.55044045385146567</v>
      </c>
      <c r="Q138" s="116">
        <f t="shared" si="31"/>
        <v>11.144360333798705</v>
      </c>
      <c r="R138" s="101">
        <f t="shared" si="25"/>
        <v>69172.615519604806</v>
      </c>
      <c r="S138" s="101">
        <v>69223.657606994733</v>
      </c>
      <c r="T138" s="101"/>
      <c r="U138" s="104">
        <f t="shared" si="26"/>
        <v>-1.9651122187501313</v>
      </c>
      <c r="V138" s="104">
        <f t="shared" si="27"/>
        <v>-2.0373982764704701</v>
      </c>
    </row>
    <row r="139" spans="1:22">
      <c r="A139" s="44" t="s">
        <v>68</v>
      </c>
      <c r="B139" s="90">
        <v>67072</v>
      </c>
      <c r="C139" s="91">
        <f t="shared" si="33"/>
        <v>8.6326973535032936E-2</v>
      </c>
      <c r="D139" s="90">
        <v>9238</v>
      </c>
      <c r="E139" s="115">
        <f t="shared" si="34"/>
        <v>2.1389738362215427</v>
      </c>
      <c r="F139" s="44">
        <v>68501.62</v>
      </c>
      <c r="G139" s="44">
        <v>13712.239</v>
      </c>
      <c r="H139" s="92">
        <v>3.7216849625110626E-2</v>
      </c>
      <c r="I139" s="101">
        <f t="shared" si="32"/>
        <v>392549.16602855688</v>
      </c>
      <c r="J139" s="94">
        <v>0.56134099999999998</v>
      </c>
      <c r="K139" s="95">
        <f t="shared" si="28"/>
        <v>5.6134100000000003E-4</v>
      </c>
      <c r="L139" s="96">
        <v>0.6</v>
      </c>
      <c r="M139" s="116">
        <f t="shared" si="29"/>
        <v>6.3289018737453944</v>
      </c>
      <c r="N139" s="116">
        <f t="shared" si="30"/>
        <v>560.54071128463477</v>
      </c>
      <c r="O139" s="116">
        <v>576.38355537397103</v>
      </c>
      <c r="P139" s="116">
        <v>0.54934074375104114</v>
      </c>
      <c r="Q139" s="116">
        <f t="shared" si="31"/>
        <v>11.149518342223292</v>
      </c>
      <c r="R139" s="101">
        <f t="shared" si="25"/>
        <v>69530.330207808889</v>
      </c>
      <c r="S139" s="101">
        <v>69624.088288419298</v>
      </c>
      <c r="T139" s="101"/>
      <c r="U139" s="104">
        <f t="shared" si="26"/>
        <v>-1.4795129042740496</v>
      </c>
      <c r="V139" s="104">
        <f t="shared" si="27"/>
        <v>-1.6121838231754726</v>
      </c>
    </row>
    <row r="140" spans="1:22">
      <c r="A140" s="44" t="s">
        <v>69</v>
      </c>
      <c r="B140" s="90">
        <v>74273</v>
      </c>
      <c r="C140" s="91">
        <f t="shared" si="33"/>
        <v>9.0293884501335908E-2</v>
      </c>
      <c r="D140" s="90">
        <v>19025</v>
      </c>
      <c r="E140" s="115">
        <f t="shared" si="34"/>
        <v>0.1559727791955281</v>
      </c>
      <c r="F140" s="44">
        <v>68741.712</v>
      </c>
      <c r="G140" s="44">
        <v>16018.507</v>
      </c>
      <c r="H140" s="92">
        <v>3.7216849625110626E-2</v>
      </c>
      <c r="I140" s="101">
        <f t="shared" si="32"/>
        <v>393958.22974600946</v>
      </c>
      <c r="J140" s="94">
        <v>0.56134099999999998</v>
      </c>
      <c r="K140" s="95">
        <f t="shared" si="28"/>
        <v>5.6134100000000003E-4</v>
      </c>
      <c r="L140" s="96">
        <v>0.6</v>
      </c>
      <c r="M140" s="116">
        <f t="shared" si="29"/>
        <v>6.330967417810113</v>
      </c>
      <c r="N140" s="116">
        <f t="shared" si="30"/>
        <v>561.69972941329365</v>
      </c>
      <c r="O140" s="116">
        <v>580.82279352622402</v>
      </c>
      <c r="P140" s="116">
        <v>0.54835448134344034</v>
      </c>
      <c r="Q140" s="116">
        <f t="shared" si="31"/>
        <v>11.157545772070382</v>
      </c>
      <c r="R140" s="101">
        <f t="shared" si="25"/>
        <v>70090.726316715882</v>
      </c>
      <c r="S140" s="101">
        <v>70074.628425662959</v>
      </c>
      <c r="T140" s="101"/>
      <c r="U140" s="104">
        <f t="shared" si="26"/>
        <v>-1.9246687651946259</v>
      </c>
      <c r="V140" s="104">
        <f t="shared" si="27"/>
        <v>-1.9021384138725117</v>
      </c>
    </row>
    <row r="141" spans="1:22">
      <c r="A141" s="44" t="s">
        <v>70</v>
      </c>
      <c r="B141" s="90">
        <v>64254</v>
      </c>
      <c r="C141" s="91">
        <f t="shared" si="33"/>
        <v>-1.7387713905583357E-2</v>
      </c>
      <c r="D141" s="90">
        <v>17124</v>
      </c>
      <c r="E141" s="115">
        <f t="shared" si="34"/>
        <v>5.7102290264831268E-2</v>
      </c>
      <c r="F141" s="44">
        <v>68854.225000000006</v>
      </c>
      <c r="G141" s="44">
        <v>16846.677</v>
      </c>
      <c r="H141" s="92">
        <v>3.6792945116758347E-2</v>
      </c>
      <c r="I141" s="101">
        <f t="shared" si="32"/>
        <v>396310.0232206693</v>
      </c>
      <c r="J141" s="94">
        <v>0.54510800000000004</v>
      </c>
      <c r="K141" s="95">
        <f t="shared" si="28"/>
        <v>5.4510799999999999E-4</v>
      </c>
      <c r="L141" s="96">
        <v>0.6</v>
      </c>
      <c r="M141" s="116">
        <f t="shared" si="29"/>
        <v>6.3478288425043665</v>
      </c>
      <c r="N141" s="116">
        <f t="shared" si="30"/>
        <v>571.25108554509404</v>
      </c>
      <c r="O141" s="116">
        <v>585.48572459455079</v>
      </c>
      <c r="P141" s="116">
        <v>0.5475218431227501</v>
      </c>
      <c r="Q141" s="116">
        <f t="shared" si="31"/>
        <v>11.16701087633794</v>
      </c>
      <c r="R141" s="101">
        <f t="shared" si="25"/>
        <v>70757.291929646002</v>
      </c>
      <c r="S141" s="101">
        <v>70577.1969896706</v>
      </c>
      <c r="T141" s="101"/>
      <c r="U141" s="104">
        <f t="shared" si="26"/>
        <v>-2.689570046770895</v>
      </c>
      <c r="V141" s="104">
        <f t="shared" si="27"/>
        <v>-2.4412587395936991</v>
      </c>
    </row>
    <row r="142" spans="1:22">
      <c r="A142" s="44" t="s">
        <v>71</v>
      </c>
      <c r="B142" s="90">
        <v>67256</v>
      </c>
      <c r="C142" s="91">
        <f t="shared" si="33"/>
        <v>-1.8547433858187246E-2</v>
      </c>
      <c r="D142" s="90">
        <v>14675</v>
      </c>
      <c r="E142" s="115">
        <f t="shared" si="34"/>
        <v>-4.6954149889596009E-2</v>
      </c>
      <c r="F142" s="44">
        <v>69022.683999999994</v>
      </c>
      <c r="G142" s="44">
        <v>13602.65</v>
      </c>
      <c r="H142" s="92">
        <v>3.6792945116758347E-2</v>
      </c>
      <c r="I142" s="101">
        <f t="shared" si="32"/>
        <v>395331.26028709003</v>
      </c>
      <c r="J142" s="94">
        <v>0.54510800000000004</v>
      </c>
      <c r="K142" s="95">
        <f t="shared" si="28"/>
        <v>5.4510799999999999E-4</v>
      </c>
      <c r="L142" s="96">
        <v>0.6</v>
      </c>
      <c r="M142" s="116">
        <f t="shared" si="29"/>
        <v>6.3512615560370893</v>
      </c>
      <c r="N142" s="116">
        <f t="shared" si="30"/>
        <v>573.2153964063906</v>
      </c>
      <c r="O142" s="116">
        <v>590.34078143281658</v>
      </c>
      <c r="P142" s="116">
        <v>0.54689112215721769</v>
      </c>
      <c r="Q142" s="116">
        <f t="shared" si="31"/>
        <v>11.173588371157098</v>
      </c>
      <c r="R142" s="101">
        <f t="shared" si="25"/>
        <v>71224.231613957978</v>
      </c>
      <c r="S142" s="101">
        <v>71132.879878621054</v>
      </c>
      <c r="T142" s="101"/>
      <c r="U142" s="104">
        <f t="shared" si="26"/>
        <v>-3.091009287247326</v>
      </c>
      <c r="V142" s="104">
        <f t="shared" si="27"/>
        <v>-2.9665548227793326</v>
      </c>
    </row>
    <row r="143" spans="1:22">
      <c r="A143" s="44" t="s">
        <v>72</v>
      </c>
      <c r="B143" s="90">
        <v>70098</v>
      </c>
      <c r="C143" s="91">
        <f t="shared" si="33"/>
        <v>4.5115696564885566E-2</v>
      </c>
      <c r="D143" s="90">
        <v>10828</v>
      </c>
      <c r="E143" s="115">
        <f t="shared" si="34"/>
        <v>0.17211517644511809</v>
      </c>
      <c r="F143" s="44">
        <v>70000.740000000005</v>
      </c>
      <c r="G143" s="44">
        <v>15129.257</v>
      </c>
      <c r="H143" s="92">
        <v>3.6792945116758347E-2</v>
      </c>
      <c r="I143" s="101">
        <f t="shared" si="32"/>
        <v>395915.11592440819</v>
      </c>
      <c r="J143" s="94">
        <v>0.54510800000000004</v>
      </c>
      <c r="K143" s="95">
        <f t="shared" si="28"/>
        <v>5.4510799999999999E-4</v>
      </c>
      <c r="L143" s="96">
        <v>0.6</v>
      </c>
      <c r="M143" s="116">
        <f t="shared" si="29"/>
        <v>6.3647418502788948</v>
      </c>
      <c r="N143" s="116">
        <f t="shared" si="30"/>
        <v>580.99482530412195</v>
      </c>
      <c r="O143" s="116">
        <v>595.34750024548066</v>
      </c>
      <c r="P143" s="116">
        <v>0.54650910286313858</v>
      </c>
      <c r="Q143" s="116">
        <f t="shared" si="31"/>
        <v>11.18220472559522</v>
      </c>
      <c r="R143" s="101">
        <f t="shared" si="25"/>
        <v>71840.576347270835</v>
      </c>
      <c r="S143" s="101">
        <v>71741.686133199619</v>
      </c>
      <c r="T143" s="101"/>
      <c r="U143" s="104">
        <f t="shared" si="26"/>
        <v>-2.5609988683515383</v>
      </c>
      <c r="V143" s="104">
        <f t="shared" si="27"/>
        <v>-2.4266869473450581</v>
      </c>
    </row>
    <row r="144" spans="1:22">
      <c r="A144" s="44" t="s">
        <v>73</v>
      </c>
      <c r="B144" s="90">
        <v>79773</v>
      </c>
      <c r="C144" s="91">
        <f t="shared" si="33"/>
        <v>7.4051135675144319E-2</v>
      </c>
      <c r="D144" s="90">
        <v>14207</v>
      </c>
      <c r="E144" s="115">
        <f t="shared" si="34"/>
        <v>-0.25324572930354794</v>
      </c>
      <c r="F144" s="44">
        <v>71058.535999999905</v>
      </c>
      <c r="G144" s="44">
        <v>10950.313</v>
      </c>
      <c r="H144" s="92">
        <v>3.6792945116758347E-2</v>
      </c>
      <c r="I144" s="101">
        <f t="shared" si="32"/>
        <v>392298.54579330643</v>
      </c>
      <c r="J144" s="94">
        <v>0.54510800000000004</v>
      </c>
      <c r="K144" s="95">
        <f t="shared" si="28"/>
        <v>5.4510799999999999E-4</v>
      </c>
      <c r="L144" s="96">
        <v>0.6</v>
      </c>
      <c r="M144" s="116">
        <f t="shared" si="29"/>
        <v>6.3834107002162286</v>
      </c>
      <c r="N144" s="116">
        <f t="shared" si="30"/>
        <v>591.9432094008132</v>
      </c>
      <c r="O144" s="116">
        <v>600.45471387136081</v>
      </c>
      <c r="P144" s="116">
        <v>0.54642145520546015</v>
      </c>
      <c r="Q144" s="116">
        <f t="shared" si="31"/>
        <v>11.186979771757894</v>
      </c>
      <c r="R144" s="101">
        <f t="shared" si="25"/>
        <v>72184.438741716862</v>
      </c>
      <c r="S144" s="101">
        <v>72402.305921667445</v>
      </c>
      <c r="T144" s="101"/>
      <c r="U144" s="104">
        <f t="shared" si="26"/>
        <v>-1.559758254470256</v>
      </c>
      <c r="V144" s="104">
        <f t="shared" si="27"/>
        <v>-1.8559766910205555</v>
      </c>
    </row>
    <row r="145" spans="1:22">
      <c r="A145" s="44" t="s">
        <v>74</v>
      </c>
      <c r="B145" s="90">
        <v>64540</v>
      </c>
      <c r="C145" s="91">
        <f t="shared" si="33"/>
        <v>4.4510847573691059E-3</v>
      </c>
      <c r="D145" s="90">
        <v>11106</v>
      </c>
      <c r="E145" s="115">
        <f t="shared" si="34"/>
        <v>-0.35143658023826208</v>
      </c>
      <c r="F145" s="44">
        <v>70990.024999999994</v>
      </c>
      <c r="G145" s="44">
        <v>11355.884</v>
      </c>
      <c r="H145" s="92">
        <v>3.6289900541305542E-2</v>
      </c>
      <c r="I145" s="101">
        <f t="shared" si="32"/>
        <v>389417.95458396856</v>
      </c>
      <c r="J145" s="94">
        <v>0.52299499999999999</v>
      </c>
      <c r="K145" s="95">
        <f t="shared" si="28"/>
        <v>5.2299499999999995E-4</v>
      </c>
      <c r="L145" s="96">
        <v>0.6</v>
      </c>
      <c r="M145" s="116">
        <f t="shared" si="29"/>
        <v>6.4102412866358742</v>
      </c>
      <c r="N145" s="116">
        <f t="shared" si="30"/>
        <v>608.04037537972408</v>
      </c>
      <c r="O145" s="116">
        <v>605.60228472743654</v>
      </c>
      <c r="P145" s="116">
        <v>0.54667297345984012</v>
      </c>
      <c r="Q145" s="116">
        <f t="shared" si="31"/>
        <v>11.192844160409745</v>
      </c>
      <c r="R145" s="101">
        <f t="shared" si="25"/>
        <v>72609.000024540044</v>
      </c>
      <c r="S145" s="101">
        <v>73112.341320952444</v>
      </c>
      <c r="T145" s="101"/>
      <c r="U145" s="104">
        <f t="shared" si="26"/>
        <v>-2.2297167348302227</v>
      </c>
      <c r="V145" s="104">
        <f t="shared" si="27"/>
        <v>-2.9028154243286974</v>
      </c>
    </row>
    <row r="146" spans="1:22">
      <c r="A146" s="44" t="s">
        <v>75</v>
      </c>
      <c r="B146" s="90">
        <v>69659</v>
      </c>
      <c r="C146" s="91">
        <f t="shared" si="33"/>
        <v>3.5729154276198383E-2</v>
      </c>
      <c r="D146" s="90">
        <v>17872</v>
      </c>
      <c r="E146" s="115">
        <f t="shared" si="34"/>
        <v>0.21785349233390128</v>
      </c>
      <c r="F146" s="44">
        <v>72289.948000000004</v>
      </c>
      <c r="G146" s="44">
        <v>16718.04</v>
      </c>
      <c r="H146" s="92">
        <v>3.6289900541305542E-2</v>
      </c>
      <c r="I146" s="101">
        <f t="shared" si="32"/>
        <v>392004.0557431177</v>
      </c>
      <c r="J146" s="94">
        <v>0.52299499999999999</v>
      </c>
      <c r="K146" s="95">
        <f t="shared" si="28"/>
        <v>5.2299499999999995E-4</v>
      </c>
      <c r="L146" s="96">
        <v>0.6</v>
      </c>
      <c r="M146" s="116">
        <f t="shared" si="29"/>
        <v>6.4257394057835411</v>
      </c>
      <c r="N146" s="116">
        <f t="shared" si="30"/>
        <v>617.53725939532399</v>
      </c>
      <c r="O146" s="116">
        <v>610.72475554039318</v>
      </c>
      <c r="P146" s="116">
        <v>0.54730763099243296</v>
      </c>
      <c r="Q146" s="116">
        <f t="shared" si="31"/>
        <v>11.204610818974276</v>
      </c>
      <c r="R146" s="101">
        <f t="shared" si="25"/>
        <v>73468.411622215848</v>
      </c>
      <c r="S146" s="101">
        <v>73868.55455178149</v>
      </c>
      <c r="T146" s="101"/>
      <c r="U146" s="104">
        <f t="shared" si="26"/>
        <v>-1.6040412419362715</v>
      </c>
      <c r="V146" s="104">
        <f t="shared" si="27"/>
        <v>-2.1370481138559327</v>
      </c>
    </row>
    <row r="147" spans="1:22">
      <c r="A147" s="44" t="s">
        <v>76</v>
      </c>
      <c r="B147" s="90">
        <v>74784</v>
      </c>
      <c r="C147" s="91">
        <f t="shared" si="33"/>
        <v>6.6849268167422649E-2</v>
      </c>
      <c r="D147" s="90">
        <v>12905</v>
      </c>
      <c r="E147" s="115">
        <f t="shared" si="34"/>
        <v>0.19181751015884752</v>
      </c>
      <c r="F147" s="44">
        <v>74687.240000000005</v>
      </c>
      <c r="G147" s="44">
        <v>17118.411</v>
      </c>
      <c r="H147" s="92">
        <v>3.6289900541305542E-2</v>
      </c>
      <c r="I147" s="101">
        <f t="shared" si="32"/>
        <v>394896.67854841158</v>
      </c>
      <c r="J147" s="94">
        <v>0.52299499999999999</v>
      </c>
      <c r="K147" s="95">
        <f t="shared" si="28"/>
        <v>5.2299499999999995E-4</v>
      </c>
      <c r="L147" s="96">
        <v>0.6</v>
      </c>
      <c r="M147" s="116">
        <f t="shared" si="29"/>
        <v>6.4554227904970389</v>
      </c>
      <c r="N147" s="116">
        <f t="shared" si="30"/>
        <v>636.14262446134023</v>
      </c>
      <c r="O147" s="116">
        <v>615.75819284357362</v>
      </c>
      <c r="P147" s="116">
        <v>0.54835460243598055</v>
      </c>
      <c r="Q147" s="116">
        <f t="shared" si="31"/>
        <v>11.216906246991957</v>
      </c>
      <c r="R147" s="101">
        <f t="shared" si="25"/>
        <v>74377.313406690053</v>
      </c>
      <c r="S147" s="101">
        <v>74666.381387180852</v>
      </c>
      <c r="T147" s="101"/>
      <c r="U147" s="104">
        <f t="shared" si="26"/>
        <v>0.41669506347359331</v>
      </c>
      <c r="V147" s="104">
        <f t="shared" si="27"/>
        <v>2.7935748902829793E-2</v>
      </c>
    </row>
    <row r="148" spans="1:22">
      <c r="A148" s="44" t="s">
        <v>77</v>
      </c>
      <c r="B148" s="90">
        <v>85550</v>
      </c>
      <c r="C148" s="91">
        <f t="shared" si="33"/>
        <v>7.2417986035375304E-2</v>
      </c>
      <c r="D148" s="90">
        <v>25552</v>
      </c>
      <c r="E148" s="115">
        <f t="shared" si="34"/>
        <v>0.79855001055817554</v>
      </c>
      <c r="F148" s="44">
        <v>76359.604000000007</v>
      </c>
      <c r="G148" s="44">
        <v>21950.445</v>
      </c>
      <c r="H148" s="92">
        <v>3.6289900541305542E-2</v>
      </c>
      <c r="I148" s="101">
        <f t="shared" si="32"/>
        <v>402516.36235979781</v>
      </c>
      <c r="J148" s="94">
        <v>0.52299499999999999</v>
      </c>
      <c r="K148" s="95">
        <f t="shared" si="28"/>
        <v>5.2299499999999995E-4</v>
      </c>
      <c r="L148" s="96">
        <v>0.6</v>
      </c>
      <c r="M148" s="116">
        <f t="shared" si="29"/>
        <v>6.4699227062443851</v>
      </c>
      <c r="N148" s="116">
        <f t="shared" si="30"/>
        <v>645.4338370317314</v>
      </c>
      <c r="O148" s="116">
        <v>620.64292098523003</v>
      </c>
      <c r="P148" s="116">
        <v>0.54982786702885444</v>
      </c>
      <c r="Q148" s="116">
        <f t="shared" si="31"/>
        <v>11.234062309557427</v>
      </c>
      <c r="R148" s="101">
        <f t="shared" si="25"/>
        <v>75664.343868977492</v>
      </c>
      <c r="S148" s="101">
        <v>75500.270971081904</v>
      </c>
      <c r="T148" s="101"/>
      <c r="U148" s="104">
        <f t="shared" si="26"/>
        <v>0.9188741955212798</v>
      </c>
      <c r="V148" s="104">
        <f t="shared" si="27"/>
        <v>1.1381853573045442</v>
      </c>
    </row>
    <row r="149" spans="1:22">
      <c r="A149" s="44" t="s">
        <v>78</v>
      </c>
      <c r="B149" s="90">
        <v>70626</v>
      </c>
      <c r="C149" s="91">
        <f t="shared" si="33"/>
        <v>9.4298109699411325E-2</v>
      </c>
      <c r="D149" s="90">
        <v>11912</v>
      </c>
      <c r="E149" s="115">
        <f t="shared" si="34"/>
        <v>7.2573383756528109E-2</v>
      </c>
      <c r="F149" s="44">
        <v>76358.054000000004</v>
      </c>
      <c r="G149" s="44">
        <v>12522.776</v>
      </c>
      <c r="H149" s="92">
        <v>3.584299236536026E-2</v>
      </c>
      <c r="I149" s="101">
        <f t="shared" si="32"/>
        <v>400611.74745680299</v>
      </c>
      <c r="J149" s="94">
        <v>0.54525299999999999</v>
      </c>
      <c r="K149" s="95">
        <f t="shared" si="28"/>
        <v>5.4525299999999999E-4</v>
      </c>
      <c r="L149" s="96">
        <v>0.6</v>
      </c>
      <c r="M149" s="116">
        <f t="shared" si="29"/>
        <v>6.4467928055038533</v>
      </c>
      <c r="N149" s="116">
        <f t="shared" si="30"/>
        <v>630.67634404350861</v>
      </c>
      <c r="O149" s="116">
        <v>625.33200458337569</v>
      </c>
      <c r="P149" s="116">
        <v>0.55172555425790359</v>
      </c>
      <c r="Q149" s="116">
        <f t="shared" si="31"/>
        <v>11.241759202210179</v>
      </c>
      <c r="R149" s="101">
        <f t="shared" si="25"/>
        <v>76248.971222155029</v>
      </c>
      <c r="S149" s="101">
        <v>76364.685484049041</v>
      </c>
      <c r="T149" s="101"/>
      <c r="U149" s="104">
        <f t="shared" si="26"/>
        <v>0.14306131098760222</v>
      </c>
      <c r="V149" s="104">
        <f t="shared" si="27"/>
        <v>-8.6839669501737049E-3</v>
      </c>
    </row>
    <row r="150" spans="1:22">
      <c r="A150" s="44" t="s">
        <v>79</v>
      </c>
      <c r="B150" s="90">
        <v>77089</v>
      </c>
      <c r="C150" s="91">
        <f t="shared" si="33"/>
        <v>0.10666245567694044</v>
      </c>
      <c r="D150" s="90">
        <v>24351</v>
      </c>
      <c r="E150" s="115">
        <f t="shared" si="34"/>
        <v>0.36252238137869286</v>
      </c>
      <c r="F150" s="44">
        <v>78211.346999999994</v>
      </c>
      <c r="G150" s="44">
        <v>23229.764999999999</v>
      </c>
      <c r="H150" s="92">
        <v>3.584299236536026E-2</v>
      </c>
      <c r="I150" s="101">
        <f t="shared" si="32"/>
        <v>409482.3886512352</v>
      </c>
      <c r="J150" s="94">
        <v>0.54525299999999999</v>
      </c>
      <c r="K150" s="95">
        <f t="shared" si="28"/>
        <v>5.4525299999999999E-4</v>
      </c>
      <c r="L150" s="96">
        <v>0.6</v>
      </c>
      <c r="M150" s="116">
        <f t="shared" si="29"/>
        <v>6.462013571662732</v>
      </c>
      <c r="N150" s="116">
        <f t="shared" si="30"/>
        <v>640.34914820101005</v>
      </c>
      <c r="O150" s="116">
        <v>629.79400257855286</v>
      </c>
      <c r="P150" s="116">
        <v>0.5540290230680841</v>
      </c>
      <c r="Q150" s="116">
        <f t="shared" si="31"/>
        <v>11.260129532400889</v>
      </c>
      <c r="R150" s="101">
        <f t="shared" si="25"/>
        <v>77662.634979789815</v>
      </c>
      <c r="S150" s="101">
        <v>77254.624189789727</v>
      </c>
      <c r="T150" s="101"/>
      <c r="U150" s="104">
        <f t="shared" si="26"/>
        <v>0.70653283957333723</v>
      </c>
      <c r="V150" s="104">
        <f t="shared" si="27"/>
        <v>1.2384019989015949</v>
      </c>
    </row>
    <row r="151" spans="1:22">
      <c r="A151" s="44" t="s">
        <v>80</v>
      </c>
      <c r="B151" s="90">
        <v>76410</v>
      </c>
      <c r="C151" s="91">
        <f t="shared" si="33"/>
        <v>2.1742618741976916E-2</v>
      </c>
      <c r="D151" s="90">
        <v>7793</v>
      </c>
      <c r="E151" s="115">
        <f t="shared" si="34"/>
        <v>-0.39612553273924833</v>
      </c>
      <c r="F151" s="44">
        <v>77748.350000000006</v>
      </c>
      <c r="G151" s="44">
        <v>11910.038</v>
      </c>
      <c r="H151" s="92">
        <v>3.584299236536026E-2</v>
      </c>
      <c r="I151" s="101">
        <f t="shared" si="32"/>
        <v>406715.35252105951</v>
      </c>
      <c r="J151" s="94">
        <v>0.54525299999999999</v>
      </c>
      <c r="K151" s="95">
        <f t="shared" si="28"/>
        <v>5.4525299999999999E-4</v>
      </c>
      <c r="L151" s="96">
        <v>0.6</v>
      </c>
      <c r="M151" s="116">
        <f t="shared" si="29"/>
        <v>6.4587882949868494</v>
      </c>
      <c r="N151" s="116">
        <f t="shared" si="30"/>
        <v>638.28717203816791</v>
      </c>
      <c r="O151" s="116">
        <v>634.0008141234664</v>
      </c>
      <c r="P151" s="116">
        <v>0.55671558705794078</v>
      </c>
      <c r="Q151" s="116">
        <f t="shared" si="31"/>
        <v>11.26697730352366</v>
      </c>
      <c r="R151" s="101">
        <f t="shared" si="25"/>
        <v>78196.275969313632</v>
      </c>
      <c r="S151" s="101">
        <v>78165.082207333908</v>
      </c>
      <c r="T151" s="101"/>
      <c r="U151" s="104">
        <f t="shared" si="26"/>
        <v>-0.57282263606697192</v>
      </c>
      <c r="V151" s="104">
        <f t="shared" si="27"/>
        <v>-0.53314369481313184</v>
      </c>
    </row>
    <row r="152" spans="1:22">
      <c r="A152" s="44" t="s">
        <v>81</v>
      </c>
      <c r="B152" s="90">
        <v>84322</v>
      </c>
      <c r="C152" s="91">
        <f t="shared" si="33"/>
        <v>-1.4354178842782006E-2</v>
      </c>
      <c r="D152" s="90">
        <v>17156</v>
      </c>
      <c r="E152" s="115">
        <f t="shared" si="34"/>
        <v>-0.32858484658735132</v>
      </c>
      <c r="F152" s="44">
        <v>78530.183999999994</v>
      </c>
      <c r="G152" s="44">
        <v>13409.782999999999</v>
      </c>
      <c r="H152" s="92">
        <v>3.584299236536026E-2</v>
      </c>
      <c r="I152" s="101">
        <f t="shared" si="32"/>
        <v>405547.24024577235</v>
      </c>
      <c r="J152" s="94">
        <v>0.54525299999999999</v>
      </c>
      <c r="K152" s="95">
        <f t="shared" si="28"/>
        <v>5.4525299999999999E-4</v>
      </c>
      <c r="L152" s="96">
        <v>0.6</v>
      </c>
      <c r="M152" s="116">
        <f t="shared" si="29"/>
        <v>6.4699445047276702</v>
      </c>
      <c r="N152" s="116">
        <f t="shared" si="30"/>
        <v>645.44790666378731</v>
      </c>
      <c r="O152" s="116">
        <v>637.93093533683532</v>
      </c>
      <c r="P152" s="116">
        <v>0.55975707481160086</v>
      </c>
      <c r="Q152" s="116">
        <f t="shared" si="31"/>
        <v>11.275275652856376</v>
      </c>
      <c r="R152" s="101">
        <f t="shared" si="25"/>
        <v>78847.875846292329</v>
      </c>
      <c r="S152" s="101">
        <v>79091.652607467899</v>
      </c>
      <c r="T152" s="101"/>
      <c r="U152" s="104">
        <f t="shared" si="26"/>
        <v>-0.40291744436039556</v>
      </c>
      <c r="V152" s="104">
        <f t="shared" si="27"/>
        <v>-0.7098961634478318</v>
      </c>
    </row>
    <row r="153" spans="1:22">
      <c r="A153" s="44" t="s">
        <v>82</v>
      </c>
      <c r="B153" s="90">
        <v>76991</v>
      </c>
      <c r="C153" s="91">
        <f t="shared" si="33"/>
        <v>9.0122617732846244E-2</v>
      </c>
      <c r="D153" s="90">
        <v>14856</v>
      </c>
      <c r="E153" s="115">
        <f t="shared" si="34"/>
        <v>0.24714573539288121</v>
      </c>
      <c r="F153" s="44">
        <v>80900.58</v>
      </c>
      <c r="G153" s="44">
        <v>15517.066999999999</v>
      </c>
      <c r="H153" s="92">
        <v>3.551970049738884E-2</v>
      </c>
      <c r="I153" s="101">
        <f t="shared" si="32"/>
        <v>406659.3907346999</v>
      </c>
      <c r="J153" s="94">
        <v>0.55970200000000003</v>
      </c>
      <c r="K153" s="95">
        <f t="shared" si="28"/>
        <v>5.5970200000000003E-4</v>
      </c>
      <c r="L153" s="96">
        <v>0.6</v>
      </c>
      <c r="M153" s="116">
        <f t="shared" si="29"/>
        <v>6.4828942457166452</v>
      </c>
      <c r="N153" s="116">
        <f t="shared" si="30"/>
        <v>653.86064369501969</v>
      </c>
      <c r="O153" s="116">
        <v>641.56554131107521</v>
      </c>
      <c r="P153" s="116">
        <v>0.56311815079628047</v>
      </c>
      <c r="Q153" s="116">
        <f t="shared" si="31"/>
        <v>11.285644354050426</v>
      </c>
      <c r="R153" s="101">
        <f t="shared" si="25"/>
        <v>79669.679064074458</v>
      </c>
      <c r="S153" s="101">
        <v>80029.66800334843</v>
      </c>
      <c r="T153" s="101"/>
      <c r="U153" s="104">
        <f t="shared" si="26"/>
        <v>1.5450055157566256</v>
      </c>
      <c r="V153" s="104">
        <f t="shared" si="27"/>
        <v>1.0882364232913444</v>
      </c>
    </row>
    <row r="154" spans="1:22">
      <c r="A154" s="44" t="s">
        <v>83</v>
      </c>
      <c r="B154" s="90">
        <v>79988</v>
      </c>
      <c r="C154" s="91">
        <f t="shared" si="33"/>
        <v>3.7605884107979159E-2</v>
      </c>
      <c r="D154" s="90">
        <v>19453</v>
      </c>
      <c r="E154" s="115">
        <f t="shared" si="34"/>
        <v>-0.20114163689376208</v>
      </c>
      <c r="F154" s="44">
        <v>80464.379000000001</v>
      </c>
      <c r="G154" s="44">
        <v>18747.953000000001</v>
      </c>
      <c r="H154" s="92">
        <v>3.551970049738884E-2</v>
      </c>
      <c r="I154" s="101">
        <f t="shared" si="32"/>
        <v>410962.92397135275</v>
      </c>
      <c r="J154" s="94">
        <v>0.56629300000000005</v>
      </c>
      <c r="K154" s="95">
        <f t="shared" si="28"/>
        <v>5.6629300000000005E-4</v>
      </c>
      <c r="L154" s="96">
        <v>0.6</v>
      </c>
      <c r="M154" s="116">
        <f t="shared" si="29"/>
        <v>6.4662527566709977</v>
      </c>
      <c r="N154" s="116">
        <f t="shared" si="30"/>
        <v>643.06946860702601</v>
      </c>
      <c r="O154" s="116">
        <v>644.8905052456812</v>
      </c>
      <c r="P154" s="116">
        <v>0.56675441443243857</v>
      </c>
      <c r="Q154" s="116">
        <f t="shared" si="31"/>
        <v>11.298886334756306</v>
      </c>
      <c r="R154" s="101">
        <f t="shared" si="25"/>
        <v>80731.679392575272</v>
      </c>
      <c r="S154" s="101">
        <v>80974.110090252594</v>
      </c>
      <c r="T154" s="101"/>
      <c r="U154" s="104">
        <f t="shared" si="26"/>
        <v>-0.33109727753273255</v>
      </c>
      <c r="V154" s="104">
        <f t="shared" si="27"/>
        <v>-0.6294988480694097</v>
      </c>
    </row>
    <row r="155" spans="1:22">
      <c r="A155" s="44" t="s">
        <v>84</v>
      </c>
      <c r="B155" s="90">
        <v>81024</v>
      </c>
      <c r="C155" s="91">
        <f t="shared" si="33"/>
        <v>6.0384766391833544E-2</v>
      </c>
      <c r="D155" s="90">
        <v>13147</v>
      </c>
      <c r="E155" s="115">
        <f t="shared" si="34"/>
        <v>0.68702681894007434</v>
      </c>
      <c r="F155" s="44">
        <v>81023.751000000004</v>
      </c>
      <c r="G155" s="44">
        <v>16947.458999999999</v>
      </c>
      <c r="H155" s="92">
        <v>3.551970049738884E-2</v>
      </c>
      <c r="I155" s="101">
        <f t="shared" si="32"/>
        <v>413313.10299635911</v>
      </c>
      <c r="J155" s="94">
        <v>0.57681300000000002</v>
      </c>
      <c r="K155" s="95">
        <f t="shared" si="28"/>
        <v>5.7681300000000002E-4</v>
      </c>
      <c r="L155" s="96">
        <v>0.6</v>
      </c>
      <c r="M155" s="116">
        <f t="shared" si="29"/>
        <v>6.4598556246292489</v>
      </c>
      <c r="N155" s="116">
        <f t="shared" si="30"/>
        <v>638.96879855263091</v>
      </c>
      <c r="O155" s="116">
        <v>647.89938477913836</v>
      </c>
      <c r="P155" s="116">
        <v>0.5706193300462864</v>
      </c>
      <c r="Q155" s="116">
        <f t="shared" si="31"/>
        <v>11.30989991679008</v>
      </c>
      <c r="R155" s="101">
        <f t="shared" si="25"/>
        <v>81625.73872684408</v>
      </c>
      <c r="S155" s="101">
        <v>81920.504883455375</v>
      </c>
      <c r="T155" s="101"/>
      <c r="U155" s="104">
        <f t="shared" si="26"/>
        <v>-0.73749743185613781</v>
      </c>
      <c r="V155" s="104">
        <f t="shared" si="27"/>
        <v>-1.0946635213383349</v>
      </c>
    </row>
    <row r="156" spans="1:22">
      <c r="A156" s="44" t="s">
        <v>85</v>
      </c>
      <c r="B156" s="90">
        <v>86289</v>
      </c>
      <c r="C156" s="91">
        <f t="shared" si="33"/>
        <v>2.33272455586917E-2</v>
      </c>
      <c r="D156" s="90">
        <v>19563</v>
      </c>
      <c r="E156" s="115">
        <f t="shared" si="34"/>
        <v>0.14030076941011882</v>
      </c>
      <c r="F156" s="44">
        <v>81639.581000000006</v>
      </c>
      <c r="G156" s="44">
        <v>15581.322</v>
      </c>
      <c r="H156" s="92">
        <v>3.551970049738884E-2</v>
      </c>
      <c r="I156" s="101">
        <f t="shared" si="32"/>
        <v>414213.66736628202</v>
      </c>
      <c r="J156" s="94">
        <v>0.57881000000000005</v>
      </c>
      <c r="K156" s="95">
        <f t="shared" si="28"/>
        <v>5.7881000000000002E-4</v>
      </c>
      <c r="L156" s="96">
        <v>0.6</v>
      </c>
      <c r="M156" s="116">
        <f t="shared" si="29"/>
        <v>6.4644831992036274</v>
      </c>
      <c r="N156" s="116">
        <f t="shared" si="30"/>
        <v>641.93252646572137</v>
      </c>
      <c r="O156" s="116">
        <v>650.58459940203261</v>
      </c>
      <c r="P156" s="116">
        <v>0.57466607358001487</v>
      </c>
      <c r="Q156" s="116">
        <f t="shared" si="31"/>
        <v>11.319146543061922</v>
      </c>
      <c r="R156" s="101">
        <f t="shared" si="25"/>
        <v>82384.001711609992</v>
      </c>
      <c r="S156" s="101">
        <v>82864.05981630036</v>
      </c>
      <c r="T156" s="101"/>
      <c r="U156" s="104">
        <f t="shared" si="26"/>
        <v>-0.90359863097676518</v>
      </c>
      <c r="V156" s="104">
        <f t="shared" si="27"/>
        <v>-1.4776959021979841</v>
      </c>
    </row>
    <row r="157" spans="1:22">
      <c r="A157" s="44" t="s">
        <v>86</v>
      </c>
      <c r="B157" s="90">
        <v>77365</v>
      </c>
      <c r="C157" s="91">
        <f t="shared" si="33"/>
        <v>4.857710641503532E-3</v>
      </c>
      <c r="D157" s="90">
        <v>15074</v>
      </c>
      <c r="E157" s="115">
        <f t="shared" si="34"/>
        <v>1.4674205708131494E-2</v>
      </c>
      <c r="F157" s="44">
        <v>82875.548999999999</v>
      </c>
      <c r="G157" s="44">
        <v>15739.691999999999</v>
      </c>
      <c r="H157" s="92">
        <v>3.5619623959064484E-2</v>
      </c>
      <c r="I157" s="101">
        <f t="shared" si="32"/>
        <v>415199.22429599002</v>
      </c>
      <c r="J157" s="94">
        <v>0.57930099999999995</v>
      </c>
      <c r="K157" s="95">
        <f t="shared" si="28"/>
        <v>5.7930099999999995E-4</v>
      </c>
      <c r="L157" s="96">
        <v>0.6</v>
      </c>
      <c r="M157" s="116">
        <f t="shared" si="29"/>
        <v>6.4780496996699988</v>
      </c>
      <c r="N157" s="116">
        <f t="shared" si="30"/>
        <v>650.70064625542852</v>
      </c>
      <c r="O157" s="116">
        <v>652.93298698855847</v>
      </c>
      <c r="P157" s="116">
        <v>0.57885169201953623</v>
      </c>
      <c r="Q157" s="116">
        <f t="shared" si="31"/>
        <v>11.328054610183738</v>
      </c>
      <c r="R157" s="101">
        <f t="shared" si="25"/>
        <v>83121.16239233916</v>
      </c>
      <c r="S157" s="101">
        <v>83799.421850953993</v>
      </c>
      <c r="T157" s="101"/>
      <c r="U157" s="104">
        <f t="shared" si="26"/>
        <v>-0.29548839942811211</v>
      </c>
      <c r="V157" s="104">
        <f t="shared" si="27"/>
        <v>-1.1024811753441388</v>
      </c>
    </row>
    <row r="158" spans="1:22">
      <c r="A158" s="44" t="s">
        <v>87</v>
      </c>
      <c r="B158" s="90">
        <v>83626</v>
      </c>
      <c r="C158" s="91">
        <f t="shared" si="33"/>
        <v>4.5481822273341077E-2</v>
      </c>
      <c r="D158" s="90">
        <v>12202</v>
      </c>
      <c r="E158" s="115">
        <f t="shared" si="34"/>
        <v>-0.37274456382049037</v>
      </c>
      <c r="F158" s="44">
        <v>84652.553</v>
      </c>
      <c r="G158" s="44">
        <v>12083.503000000001</v>
      </c>
      <c r="H158" s="92">
        <v>3.5619623959064484E-2</v>
      </c>
      <c r="I158" s="101">
        <f t="shared" si="32"/>
        <v>412493.4870584716</v>
      </c>
      <c r="J158" s="94">
        <v>0.58925399999999994</v>
      </c>
      <c r="K158" s="95">
        <f t="shared" si="28"/>
        <v>5.8925399999999999E-4</v>
      </c>
      <c r="L158" s="96">
        <v>0.6</v>
      </c>
      <c r="M158" s="116">
        <f t="shared" si="29"/>
        <v>6.4916590376527212</v>
      </c>
      <c r="N158" s="116">
        <f t="shared" si="30"/>
        <v>659.61678503317933</v>
      </c>
      <c r="O158" s="116">
        <v>654.92597786732506</v>
      </c>
      <c r="P158" s="116">
        <v>0.58313582230477501</v>
      </c>
      <c r="Q158" s="116">
        <f t="shared" si="31"/>
        <v>11.332911407591482</v>
      </c>
      <c r="R158" s="101">
        <f t="shared" si="25"/>
        <v>83525.84697840827</v>
      </c>
      <c r="S158" s="101">
        <v>84720.47265032251</v>
      </c>
      <c r="T158" s="101"/>
      <c r="U158" s="104">
        <f t="shared" si="26"/>
        <v>1.3489309744838529</v>
      </c>
      <c r="V158" s="104">
        <f t="shared" si="27"/>
        <v>-8.0169111665417958E-2</v>
      </c>
    </row>
    <row r="159" spans="1:22">
      <c r="A159" s="44" t="s">
        <v>88</v>
      </c>
      <c r="B159" s="90">
        <v>89439</v>
      </c>
      <c r="C159" s="91">
        <f t="shared" si="33"/>
        <v>0.10385811611374418</v>
      </c>
      <c r="D159" s="90">
        <v>20709</v>
      </c>
      <c r="E159" s="115">
        <f t="shared" si="34"/>
        <v>0.5751882558758652</v>
      </c>
      <c r="F159" s="44">
        <v>87574.404999999999</v>
      </c>
      <c r="G159" s="44">
        <v>24259.413</v>
      </c>
      <c r="H159" s="92">
        <v>3.5619623959064484E-2</v>
      </c>
      <c r="I159" s="101">
        <f t="shared" si="32"/>
        <v>422060.0371638856</v>
      </c>
      <c r="J159" s="94">
        <v>0.59832700000000005</v>
      </c>
      <c r="K159" s="95">
        <f t="shared" si="28"/>
        <v>5.9832700000000006E-4</v>
      </c>
      <c r="L159" s="96">
        <v>0.6</v>
      </c>
      <c r="M159" s="116">
        <f t="shared" si="29"/>
        <v>6.5072536244875065</v>
      </c>
      <c r="N159" s="116">
        <f t="shared" si="30"/>
        <v>669.98386130304596</v>
      </c>
      <c r="O159" s="116">
        <v>656.54360715398343</v>
      </c>
      <c r="P159" s="116">
        <v>0.58747838219314352</v>
      </c>
      <c r="Q159" s="116">
        <f t="shared" si="31"/>
        <v>11.349000757708435</v>
      </c>
      <c r="R159" s="101">
        <f t="shared" si="25"/>
        <v>84880.59283968831</v>
      </c>
      <c r="S159" s="101">
        <v>85620.516456780315</v>
      </c>
      <c r="T159" s="101"/>
      <c r="U159" s="104">
        <f t="shared" si="26"/>
        <v>3.1736490877242396</v>
      </c>
      <c r="V159" s="104">
        <f t="shared" si="27"/>
        <v>2.2820331201879318</v>
      </c>
    </row>
    <row r="160" spans="1:22">
      <c r="A160" s="44" t="s">
        <v>89</v>
      </c>
      <c r="B160" s="90">
        <v>94855</v>
      </c>
      <c r="C160" s="91">
        <f t="shared" si="33"/>
        <v>9.9271054247934254E-2</v>
      </c>
      <c r="D160" s="90">
        <v>27896</v>
      </c>
      <c r="E160" s="115">
        <f t="shared" si="34"/>
        <v>0.42595716403414619</v>
      </c>
      <c r="F160" s="44">
        <v>89283.724000000002</v>
      </c>
      <c r="G160" s="44">
        <v>23657.601999999999</v>
      </c>
      <c r="H160" s="92">
        <v>3.5619623959064484E-2</v>
      </c>
      <c r="I160" s="101">
        <f t="shared" si="32"/>
        <v>430684.01935195923</v>
      </c>
      <c r="J160" s="94">
        <v>0.59405399999999997</v>
      </c>
      <c r="K160" s="95">
        <f t="shared" si="28"/>
        <v>5.94054E-4</v>
      </c>
      <c r="L160" s="96">
        <v>0.6</v>
      </c>
      <c r="M160" s="116">
        <f t="shared" si="29"/>
        <v>6.5227935344280086</v>
      </c>
      <c r="N160" s="116">
        <f t="shared" si="30"/>
        <v>680.4766676449882</v>
      </c>
      <c r="O160" s="116">
        <v>657.76884171866334</v>
      </c>
      <c r="P160" s="116">
        <v>0.59184311330311379</v>
      </c>
      <c r="Q160" s="116">
        <f t="shared" si="31"/>
        <v>11.363397337488365</v>
      </c>
      <c r="R160" s="101">
        <f t="shared" si="25"/>
        <v>86111.421670454787</v>
      </c>
      <c r="S160" s="101">
        <v>86492.815062920359</v>
      </c>
      <c r="T160" s="101"/>
      <c r="U160" s="104">
        <f t="shared" si="26"/>
        <v>3.6839507094488466</v>
      </c>
      <c r="V160" s="104">
        <f t="shared" si="27"/>
        <v>3.2267523435898893</v>
      </c>
    </row>
    <row r="161" spans="1:22">
      <c r="A161" s="44" t="s">
        <v>90</v>
      </c>
      <c r="B161" s="90">
        <v>83620</v>
      </c>
      <c r="C161" s="91">
        <f t="shared" si="33"/>
        <v>8.0850513798229162E-2</v>
      </c>
      <c r="D161" s="90">
        <v>20236</v>
      </c>
      <c r="E161" s="115">
        <f t="shared" si="34"/>
        <v>0.34244394321348026</v>
      </c>
      <c r="F161" s="44">
        <v>90018.323999999906</v>
      </c>
      <c r="G161" s="44">
        <v>20851.582999999999</v>
      </c>
      <c r="H161" s="92">
        <v>3.617728129029274E-2</v>
      </c>
      <c r="I161" s="101">
        <f t="shared" si="32"/>
        <v>435954.62543662952</v>
      </c>
      <c r="J161" s="94">
        <v>0.60059300000000004</v>
      </c>
      <c r="K161" s="95">
        <f t="shared" si="28"/>
        <v>6.0059300000000007E-4</v>
      </c>
      <c r="L161" s="96">
        <v>0.6</v>
      </c>
      <c r="M161" s="116">
        <f t="shared" si="29"/>
        <v>6.5195538169698111</v>
      </c>
      <c r="N161" s="116">
        <f t="shared" si="30"/>
        <v>678.27568271466021</v>
      </c>
      <c r="O161" s="116">
        <v>658.5930485903375</v>
      </c>
      <c r="P161" s="116">
        <v>0.59620053763928693</v>
      </c>
      <c r="Q161" s="116">
        <f t="shared" si="31"/>
        <v>11.373916276207957</v>
      </c>
      <c r="R161" s="101">
        <f t="shared" ref="R161:R192" si="35">EXP(Q161)</f>
        <v>87022.003217651451</v>
      </c>
      <c r="S161" s="101">
        <v>87331.851441675099</v>
      </c>
      <c r="T161" s="101"/>
      <c r="U161" s="104">
        <f t="shared" ref="U161:U192" si="36">(F161/R161-1)*100</f>
        <v>3.4431760607191775</v>
      </c>
      <c r="V161" s="104">
        <f t="shared" ref="V161:V192" si="37">(F161/S161-1)*100</f>
        <v>3.0761658134764058</v>
      </c>
    </row>
    <row r="162" spans="1:22">
      <c r="A162" s="44" t="s">
        <v>91</v>
      </c>
      <c r="B162" s="90">
        <v>91196</v>
      </c>
      <c r="C162" s="91">
        <f t="shared" si="33"/>
        <v>9.0522086432449189E-2</v>
      </c>
      <c r="D162" s="90">
        <v>24764</v>
      </c>
      <c r="E162" s="115">
        <f t="shared" si="34"/>
        <v>1.0295033601049006</v>
      </c>
      <c r="F162" s="44">
        <v>91726.915999999997</v>
      </c>
      <c r="G162" s="44">
        <v>24944.616000000002</v>
      </c>
      <c r="H162" s="92">
        <v>3.617728129029274E-2</v>
      </c>
      <c r="I162" s="101">
        <f t="shared" si="32"/>
        <v>445127.58832240436</v>
      </c>
      <c r="J162" s="94">
        <v>0.60712500000000003</v>
      </c>
      <c r="K162" s="95">
        <f t="shared" si="28"/>
        <v>6.0712500000000003E-4</v>
      </c>
      <c r="L162" s="96">
        <v>0.6</v>
      </c>
      <c r="M162" s="116">
        <f t="shared" si="29"/>
        <v>6.5235369903666856</v>
      </c>
      <c r="N162" s="116">
        <f t="shared" si="30"/>
        <v>680.98276017011574</v>
      </c>
      <c r="O162" s="116">
        <v>659.02178718918276</v>
      </c>
      <c r="P162" s="116">
        <v>0.60052255901044971</v>
      </c>
      <c r="Q162" s="116">
        <f t="shared" si="31"/>
        <v>11.387230046421257</v>
      </c>
      <c r="R162" s="101">
        <f t="shared" si="35"/>
        <v>88188.341121049278</v>
      </c>
      <c r="S162" s="101">
        <v>88133.852884062682</v>
      </c>
      <c r="T162" s="101"/>
      <c r="U162" s="104">
        <f t="shared" si="36"/>
        <v>4.0125200610062528</v>
      </c>
      <c r="V162" s="104">
        <f t="shared" si="37"/>
        <v>4.0768251907287834</v>
      </c>
    </row>
    <row r="163" spans="1:22">
      <c r="A163" s="44" t="s">
        <v>92</v>
      </c>
      <c r="B163" s="90">
        <v>92996</v>
      </c>
      <c r="C163" s="91">
        <f t="shared" si="33"/>
        <v>3.9770122653428608E-2</v>
      </c>
      <c r="D163" s="90">
        <v>20779</v>
      </c>
      <c r="E163" s="115">
        <f t="shared" si="34"/>
        <v>3.3801728716982282E-3</v>
      </c>
      <c r="F163" s="44">
        <v>91858.523000000001</v>
      </c>
      <c r="G163" s="44">
        <v>24344.686000000002</v>
      </c>
      <c r="H163" s="92">
        <v>3.617728129029274E-2</v>
      </c>
      <c r="I163" s="101">
        <f t="shared" si="32"/>
        <v>453368.76834959508</v>
      </c>
      <c r="J163" s="94">
        <v>0.61980199999999996</v>
      </c>
      <c r="K163" s="95">
        <f t="shared" si="28"/>
        <v>6.1980199999999992E-4</v>
      </c>
      <c r="L163" s="96">
        <v>0.6</v>
      </c>
      <c r="M163" s="116">
        <f t="shared" si="29"/>
        <v>6.5052335504201597</v>
      </c>
      <c r="N163" s="116">
        <f t="shared" si="30"/>
        <v>668.63181036058609</v>
      </c>
      <c r="O163" s="116">
        <v>659.07291858170368</v>
      </c>
      <c r="P163" s="116">
        <v>0.60478382651436435</v>
      </c>
      <c r="Q163" s="116">
        <f t="shared" si="31"/>
        <v>11.398888113510104</v>
      </c>
      <c r="R163" s="101">
        <f t="shared" si="35"/>
        <v>89222.462936734926</v>
      </c>
      <c r="S163" s="101">
        <v>88896.725726450182</v>
      </c>
      <c r="T163" s="101"/>
      <c r="U163" s="104">
        <f t="shared" si="36"/>
        <v>2.9544802693176386</v>
      </c>
      <c r="V163" s="104">
        <f t="shared" si="37"/>
        <v>3.3317281928512799</v>
      </c>
    </row>
    <row r="164" spans="1:22">
      <c r="A164" s="44" t="s">
        <v>93</v>
      </c>
      <c r="B164" s="90">
        <v>96367</v>
      </c>
      <c r="C164" s="91">
        <f t="shared" si="33"/>
        <v>1.5940119129197239E-2</v>
      </c>
      <c r="D164" s="90">
        <v>27050</v>
      </c>
      <c r="E164" s="115">
        <f t="shared" si="34"/>
        <v>-3.0326928591912772E-2</v>
      </c>
      <c r="F164" s="44">
        <v>91080.034</v>
      </c>
      <c r="G164" s="44">
        <v>22653.378000000001</v>
      </c>
      <c r="H164" s="92">
        <v>3.617728129029274E-2</v>
      </c>
      <c r="I164" s="101">
        <f t="shared" si="32"/>
        <v>459620.49688877823</v>
      </c>
      <c r="J164" s="94">
        <v>0.608541</v>
      </c>
      <c r="K164" s="95">
        <f t="shared" si="28"/>
        <v>6.0854099999999999E-4</v>
      </c>
      <c r="L164" s="96">
        <v>0.6</v>
      </c>
      <c r="M164" s="116">
        <f t="shared" si="29"/>
        <v>6.502245919011699</v>
      </c>
      <c r="N164" s="116">
        <f t="shared" si="30"/>
        <v>666.63716607788376</v>
      </c>
      <c r="O164" s="116">
        <v>658.77802944251778</v>
      </c>
      <c r="P164" s="116">
        <v>0.60896311577441142</v>
      </c>
      <c r="Q164" s="116">
        <f t="shared" si="31"/>
        <v>11.408050669864936</v>
      </c>
      <c r="R164" s="101">
        <f t="shared" si="35"/>
        <v>90043.725468047662</v>
      </c>
      <c r="S164" s="101">
        <v>89620.621969652144</v>
      </c>
      <c r="T164" s="101"/>
      <c r="U164" s="104">
        <f t="shared" si="36"/>
        <v>1.1508947753611887</v>
      </c>
      <c r="V164" s="104">
        <f t="shared" si="37"/>
        <v>1.6284332760400311</v>
      </c>
    </row>
    <row r="165" spans="1:22">
      <c r="A165" s="44" t="s">
        <v>94</v>
      </c>
      <c r="B165" s="90">
        <v>86104</v>
      </c>
      <c r="C165" s="91">
        <f t="shared" si="33"/>
        <v>2.9705812006696863E-2</v>
      </c>
      <c r="D165" s="90">
        <v>27871</v>
      </c>
      <c r="E165" s="115">
        <f t="shared" si="34"/>
        <v>0.37729788495750149</v>
      </c>
      <c r="F165" s="44">
        <v>90859.040999999997</v>
      </c>
      <c r="G165" s="44">
        <v>28329.859</v>
      </c>
      <c r="H165" s="92">
        <v>3.6745592951774597E-2</v>
      </c>
      <c r="I165" s="101">
        <f t="shared" si="32"/>
        <v>471061.3281978108</v>
      </c>
      <c r="J165" s="94">
        <v>0.61818899999999999</v>
      </c>
      <c r="K165" s="95">
        <f t="shared" si="28"/>
        <v>6.18189E-4</v>
      </c>
      <c r="L165" s="96">
        <v>0.6</v>
      </c>
      <c r="M165" s="116">
        <f t="shared" si="29"/>
        <v>6.4805437811761601</v>
      </c>
      <c r="N165" s="116">
        <f t="shared" si="30"/>
        <v>652.32557220987428</v>
      </c>
      <c r="O165" s="116">
        <v>658.17468075360432</v>
      </c>
      <c r="P165" s="116">
        <v>0.61304858877240009</v>
      </c>
      <c r="Q165" s="116">
        <f t="shared" si="31"/>
        <v>11.420981148197118</v>
      </c>
      <c r="R165" s="101">
        <f t="shared" si="35"/>
        <v>91215.593991715243</v>
      </c>
      <c r="S165" s="101">
        <v>90307.54473777907</v>
      </c>
      <c r="T165" s="101"/>
      <c r="U165" s="104">
        <f t="shared" si="36"/>
        <v>-0.39089039067994324</v>
      </c>
      <c r="V165" s="104">
        <f t="shared" si="37"/>
        <v>0.61068680786557916</v>
      </c>
    </row>
    <row r="166" spans="1:22">
      <c r="A166" s="44" t="s">
        <v>95</v>
      </c>
      <c r="B166" s="90">
        <v>89708</v>
      </c>
      <c r="C166" s="91">
        <f t="shared" si="33"/>
        <v>-1.6316505109873258E-2</v>
      </c>
      <c r="D166" s="90">
        <v>22763</v>
      </c>
      <c r="E166" s="115">
        <f t="shared" si="34"/>
        <v>-8.0802778226457761E-2</v>
      </c>
      <c r="F166" s="44">
        <v>91064.790999999997</v>
      </c>
      <c r="G166" s="44">
        <v>23241.116999999998</v>
      </c>
      <c r="H166" s="92">
        <v>3.6745592951774597E-2</v>
      </c>
      <c r="I166" s="101">
        <f t="shared" si="32"/>
        <v>476993.01737653173</v>
      </c>
      <c r="J166" s="94">
        <v>0.63615600000000005</v>
      </c>
      <c r="K166" s="95">
        <f t="shared" si="28"/>
        <v>6.3615600000000003E-4</v>
      </c>
      <c r="L166" s="96">
        <v>0.6</v>
      </c>
      <c r="M166" s="116">
        <f t="shared" si="29"/>
        <v>6.4606105463302264</v>
      </c>
      <c r="N166" s="116">
        <f t="shared" si="30"/>
        <v>639.45135208705574</v>
      </c>
      <c r="O166" s="116">
        <v>657.30534545733963</v>
      </c>
      <c r="P166" s="116">
        <v>0.61702814366778025</v>
      </c>
      <c r="Q166" s="116">
        <f t="shared" si="31"/>
        <v>11.428547134703489</v>
      </c>
      <c r="R166" s="101">
        <f t="shared" si="35"/>
        <v>91908.347321530106</v>
      </c>
      <c r="S166" s="101">
        <v>90960.409287460425</v>
      </c>
      <c r="T166" s="101"/>
      <c r="U166" s="104">
        <f t="shared" si="36"/>
        <v>-0.91782340354682468</v>
      </c>
      <c r="V166" s="104">
        <f t="shared" si="37"/>
        <v>0.11475510428904379</v>
      </c>
    </row>
    <row r="167" spans="1:22">
      <c r="A167" s="44" t="s">
        <v>96</v>
      </c>
      <c r="B167" s="90">
        <v>89512</v>
      </c>
      <c r="C167" s="91">
        <f t="shared" si="33"/>
        <v>-3.7463976945244948E-2</v>
      </c>
      <c r="D167" s="90">
        <v>13576</v>
      </c>
      <c r="E167" s="115">
        <f t="shared" si="34"/>
        <v>-0.34664805813561772</v>
      </c>
      <c r="F167" s="44">
        <v>90050.447</v>
      </c>
      <c r="G167" s="44">
        <v>17133.578000000001</v>
      </c>
      <c r="H167" s="92">
        <v>3.6745592951774597E-2</v>
      </c>
      <c r="I167" s="101">
        <f t="shared" si="32"/>
        <v>476599.20411917492</v>
      </c>
      <c r="J167" s="94">
        <v>0.64254100000000003</v>
      </c>
      <c r="K167" s="95">
        <f t="shared" si="28"/>
        <v>6.4254100000000005E-4</v>
      </c>
      <c r="L167" s="96">
        <v>0.6</v>
      </c>
      <c r="M167" s="116">
        <f t="shared" si="29"/>
        <v>6.4437476356195091</v>
      </c>
      <c r="N167" s="116">
        <f t="shared" si="30"/>
        <v>628.75874861761088</v>
      </c>
      <c r="O167" s="116">
        <v>656.20884080326016</v>
      </c>
      <c r="P167" s="116">
        <v>0.6208928913770192</v>
      </c>
      <c r="Q167" s="116">
        <f t="shared" si="31"/>
        <v>11.430293548908621</v>
      </c>
      <c r="R167" s="101">
        <f t="shared" si="35"/>
        <v>92068.997604999677</v>
      </c>
      <c r="S167" s="101">
        <v>91582.475560489547</v>
      </c>
      <c r="T167" s="101"/>
      <c r="U167" s="104">
        <f t="shared" si="36"/>
        <v>-2.1924324772816473</v>
      </c>
      <c r="V167" s="104">
        <f t="shared" si="37"/>
        <v>-1.6728403017208793</v>
      </c>
    </row>
    <row r="168" spans="1:22">
      <c r="A168" s="44" t="s">
        <v>97</v>
      </c>
      <c r="B168" s="90">
        <v>97549</v>
      </c>
      <c r="C168" s="91">
        <f t="shared" si="33"/>
        <v>1.2265609596646243E-2</v>
      </c>
      <c r="D168" s="90">
        <v>28070</v>
      </c>
      <c r="E168" s="115">
        <f t="shared" si="34"/>
        <v>3.7707948243992595E-2</v>
      </c>
      <c r="F168" s="44">
        <v>92857.063999999998</v>
      </c>
      <c r="G168" s="44">
        <v>23435.721000000001</v>
      </c>
      <c r="H168" s="92">
        <v>3.6745592951774597E-2</v>
      </c>
      <c r="I168" s="101">
        <f t="shared" si="32"/>
        <v>482522.00476347201</v>
      </c>
      <c r="J168" s="94">
        <v>0.62272000000000005</v>
      </c>
      <c r="K168" s="95">
        <f t="shared" si="28"/>
        <v>6.2272E-4</v>
      </c>
      <c r="L168" s="96">
        <v>0.6</v>
      </c>
      <c r="M168" s="116">
        <f t="shared" si="29"/>
        <v>6.4882989014606371</v>
      </c>
      <c r="N168" s="116">
        <f t="shared" si="30"/>
        <v>657.40410234034232</v>
      </c>
      <c r="O168" s="116">
        <v>654.9128252950461</v>
      </c>
      <c r="P168" s="116">
        <v>0.62464589772679191</v>
      </c>
      <c r="Q168" s="116">
        <f t="shared" si="31"/>
        <v>11.436872645340291</v>
      </c>
      <c r="R168" s="101">
        <f t="shared" si="35"/>
        <v>92676.725376317714</v>
      </c>
      <c r="S168" s="101">
        <v>92177.068737230147</v>
      </c>
      <c r="T168" s="101"/>
      <c r="U168" s="104">
        <f t="shared" si="36"/>
        <v>0.19458890347066049</v>
      </c>
      <c r="V168" s="104">
        <f t="shared" si="37"/>
        <v>0.73770545330349435</v>
      </c>
    </row>
    <row r="169" spans="1:22">
      <c r="A169" s="44" t="s">
        <v>98</v>
      </c>
      <c r="B169" s="90">
        <v>90878</v>
      </c>
      <c r="C169" s="91">
        <f t="shared" si="33"/>
        <v>5.5444578649075593E-2</v>
      </c>
      <c r="D169" s="90">
        <v>18500</v>
      </c>
      <c r="E169" s="115">
        <f t="shared" si="34"/>
        <v>-0.3362276201069212</v>
      </c>
      <c r="F169" s="44">
        <v>93680.103000000003</v>
      </c>
      <c r="G169" s="44">
        <v>19016.317999999999</v>
      </c>
      <c r="H169" s="92">
        <v>3.7041850388050079E-2</v>
      </c>
      <c r="I169" s="101">
        <f t="shared" si="32"/>
        <v>483664.81485408149</v>
      </c>
      <c r="J169" s="94">
        <v>0.61596200000000001</v>
      </c>
      <c r="K169" s="95">
        <f t="shared" si="28"/>
        <v>6.1596200000000006E-4</v>
      </c>
      <c r="L169" s="96">
        <v>0.6</v>
      </c>
      <c r="M169" s="116">
        <f t="shared" si="29"/>
        <v>6.5027241353584841</v>
      </c>
      <c r="N169" s="116">
        <f t="shared" si="30"/>
        <v>666.95603910714726</v>
      </c>
      <c r="O169" s="116">
        <v>653.42780112876153</v>
      </c>
      <c r="P169" s="116">
        <v>0.62830375861166277</v>
      </c>
      <c r="Q169" s="116">
        <f t="shared" si="31"/>
        <v>11.439052090027168</v>
      </c>
      <c r="R169" s="101">
        <f t="shared" si="35"/>
        <v>92878.929439282932</v>
      </c>
      <c r="S169" s="101">
        <v>92746.556480195606</v>
      </c>
      <c r="T169" s="101"/>
      <c r="U169" s="104">
        <f t="shared" si="36"/>
        <v>0.86259990888548632</v>
      </c>
      <c r="V169" s="104">
        <f t="shared" si="37"/>
        <v>1.006556529140501</v>
      </c>
    </row>
    <row r="170" spans="1:22">
      <c r="A170" s="44" t="s">
        <v>99</v>
      </c>
      <c r="B170" s="90">
        <v>91270</v>
      </c>
      <c r="C170" s="91">
        <f t="shared" si="33"/>
        <v>1.7412047977883871E-2</v>
      </c>
      <c r="D170" s="90">
        <v>20809</v>
      </c>
      <c r="E170" s="115">
        <f t="shared" si="34"/>
        <v>-8.5841057857048764E-2</v>
      </c>
      <c r="F170" s="44">
        <v>92886.164000000004</v>
      </c>
      <c r="G170" s="44">
        <v>21615.471000000001</v>
      </c>
      <c r="H170" s="92">
        <v>3.7041850388050079E-2</v>
      </c>
      <c r="I170" s="101">
        <f t="shared" si="32"/>
        <v>487364.44614429265</v>
      </c>
      <c r="J170" s="94">
        <v>0.62712900000000005</v>
      </c>
      <c r="K170" s="95">
        <f t="shared" si="28"/>
        <v>6.2712900000000003E-4</v>
      </c>
      <c r="L170" s="96">
        <v>0.6</v>
      </c>
      <c r="M170" s="116">
        <f t="shared" si="29"/>
        <v>6.4803848014774204</v>
      </c>
      <c r="N170" s="116">
        <f t="shared" si="30"/>
        <v>652.22187393010313</v>
      </c>
      <c r="O170" s="116">
        <v>651.76582754862386</v>
      </c>
      <c r="P170" s="116">
        <v>0.63188186624011689</v>
      </c>
      <c r="Q170" s="116">
        <f t="shared" si="31"/>
        <v>11.442960632149028</v>
      </c>
      <c r="R170" s="101">
        <f t="shared" si="35"/>
        <v>93242.661014269077</v>
      </c>
      <c r="S170" s="101">
        <v>93293.731448938561</v>
      </c>
      <c r="T170" s="101"/>
      <c r="U170" s="104">
        <f t="shared" si="36"/>
        <v>-0.38233251860381179</v>
      </c>
      <c r="V170" s="104">
        <f t="shared" si="37"/>
        <v>-0.43686477387993028</v>
      </c>
    </row>
    <row r="171" spans="1:22">
      <c r="A171" s="44" t="s">
        <v>100</v>
      </c>
      <c r="B171" s="90">
        <v>97119</v>
      </c>
      <c r="C171" s="91">
        <f t="shared" si="33"/>
        <v>8.4983019036553697E-2</v>
      </c>
      <c r="D171" s="90">
        <v>21342</v>
      </c>
      <c r="E171" s="115">
        <f t="shared" si="34"/>
        <v>0.57203889216264003</v>
      </c>
      <c r="F171" s="44">
        <v>95663.659</v>
      </c>
      <c r="G171" s="44">
        <v>24654.826000000001</v>
      </c>
      <c r="H171" s="92">
        <v>3.7041850388050079E-2</v>
      </c>
      <c r="I171" s="101">
        <f t="shared" si="32"/>
        <v>493966.3912457609</v>
      </c>
      <c r="J171" s="94">
        <v>0.64877300000000004</v>
      </c>
      <c r="K171" s="95">
        <f t="shared" si="28"/>
        <v>6.4877300000000006E-4</v>
      </c>
      <c r="L171" s="96">
        <v>0.6</v>
      </c>
      <c r="M171" s="116">
        <f t="shared" si="29"/>
        <v>6.4841080979809513</v>
      </c>
      <c r="N171" s="116">
        <f t="shared" si="30"/>
        <v>654.65481582421467</v>
      </c>
      <c r="O171" s="116">
        <v>649.94741894758715</v>
      </c>
      <c r="P171" s="116">
        <v>0.63538789922150718</v>
      </c>
      <c r="Q171" s="116">
        <f t="shared" si="31"/>
        <v>11.448868808661452</v>
      </c>
      <c r="R171" s="101">
        <f t="shared" si="35"/>
        <v>93795.185713528204</v>
      </c>
      <c r="S171" s="101">
        <v>93821.969769586518</v>
      </c>
      <c r="T171" s="101"/>
      <c r="U171" s="104">
        <f t="shared" si="36"/>
        <v>1.9920780285872519</v>
      </c>
      <c r="V171" s="104">
        <f t="shared" si="37"/>
        <v>1.9629615909113829</v>
      </c>
    </row>
    <row r="172" spans="1:22">
      <c r="A172" s="44" t="s">
        <v>101</v>
      </c>
      <c r="B172" s="90">
        <v>95795</v>
      </c>
      <c r="C172" s="91">
        <f t="shared" si="33"/>
        <v>-1.7980707131800444E-2</v>
      </c>
      <c r="D172" s="90">
        <v>28116</v>
      </c>
      <c r="E172" s="115">
        <f t="shared" si="34"/>
        <v>1.6387602422516245E-3</v>
      </c>
      <c r="F172" s="44">
        <v>93793.774000000005</v>
      </c>
      <c r="G172" s="44">
        <v>23370.639999999999</v>
      </c>
      <c r="H172" s="92">
        <v>3.7041850388050079E-2</v>
      </c>
      <c r="I172" s="101">
        <f t="shared" si="32"/>
        <v>499039.60208451044</v>
      </c>
      <c r="J172" s="94">
        <v>0.65955699999999995</v>
      </c>
      <c r="K172" s="95">
        <f t="shared" si="28"/>
        <v>6.5955699999999996E-4</v>
      </c>
      <c r="L172" s="96">
        <v>0.6</v>
      </c>
      <c r="M172" s="116">
        <f t="shared" si="29"/>
        <v>6.4503895926010468</v>
      </c>
      <c r="N172" s="116">
        <f t="shared" si="30"/>
        <v>632.94883696696922</v>
      </c>
      <c r="O172" s="116">
        <v>647.99337474759386</v>
      </c>
      <c r="P172" s="116">
        <v>0.63882656562378659</v>
      </c>
      <c r="Q172" s="116">
        <f t="shared" si="31"/>
        <v>11.453183399890637</v>
      </c>
      <c r="R172" s="101">
        <f t="shared" si="35"/>
        <v>94200.747887495265</v>
      </c>
      <c r="S172" s="101">
        <v>94334.392838611413</v>
      </c>
      <c r="T172" s="101"/>
      <c r="U172" s="104">
        <f t="shared" si="36"/>
        <v>-0.43202829767478024</v>
      </c>
      <c r="V172" s="104">
        <f t="shared" si="37"/>
        <v>-0.57308773856880046</v>
      </c>
    </row>
    <row r="173" spans="1:22">
      <c r="A173" s="44" t="s">
        <v>102</v>
      </c>
      <c r="B173" s="90">
        <v>91638</v>
      </c>
      <c r="C173" s="91">
        <f t="shared" si="33"/>
        <v>8.3628600981535683E-3</v>
      </c>
      <c r="D173" s="90">
        <v>28383</v>
      </c>
      <c r="E173" s="115">
        <f t="shared" si="34"/>
        <v>0.53421621621621629</v>
      </c>
      <c r="F173" s="44">
        <v>95411.384999999995</v>
      </c>
      <c r="G173" s="44">
        <v>28903.742999999999</v>
      </c>
      <c r="H173" s="92">
        <v>3.7157196551561356E-2</v>
      </c>
      <c r="I173" s="101">
        <f t="shared" si="32"/>
        <v>509400.43250284332</v>
      </c>
      <c r="J173" s="94">
        <v>0.64957500000000001</v>
      </c>
      <c r="K173" s="95">
        <f t="shared" si="28"/>
        <v>6.49575E-4</v>
      </c>
      <c r="L173" s="96">
        <v>0.6</v>
      </c>
      <c r="M173" s="116">
        <f t="shared" si="29"/>
        <v>6.4684194993684443</v>
      </c>
      <c r="N173" s="116">
        <f t="shared" si="30"/>
        <v>644.46434530581246</v>
      </c>
      <c r="O173" s="116">
        <v>645.92743649363433</v>
      </c>
      <c r="P173" s="116">
        <v>0.64221093920289452</v>
      </c>
      <c r="Q173" s="116">
        <f t="shared" si="31"/>
        <v>11.461379968179603</v>
      </c>
      <c r="R173" s="101">
        <f t="shared" si="35"/>
        <v>94976.043792741402</v>
      </c>
      <c r="S173" s="101">
        <v>94835.273108254187</v>
      </c>
      <c r="T173" s="101"/>
      <c r="U173" s="104">
        <f t="shared" si="36"/>
        <v>0.45836948968795976</v>
      </c>
      <c r="V173" s="104">
        <f t="shared" si="37"/>
        <v>0.60748693272405507</v>
      </c>
    </row>
    <row r="174" spans="1:22">
      <c r="A174" s="44" t="s">
        <v>103</v>
      </c>
      <c r="B174" s="90">
        <v>96665</v>
      </c>
      <c r="C174" s="91">
        <f t="shared" si="33"/>
        <v>5.9110331982031417E-2</v>
      </c>
      <c r="D174" s="90">
        <v>21412</v>
      </c>
      <c r="E174" s="115">
        <f t="shared" si="34"/>
        <v>2.8977846124273121E-2</v>
      </c>
      <c r="F174" s="44">
        <v>96250.036999999997</v>
      </c>
      <c r="G174" s="44">
        <v>22511.743999999999</v>
      </c>
      <c r="H174" s="92">
        <v>3.7157196551561356E-2</v>
      </c>
      <c r="I174" s="101">
        <f t="shared" si="32"/>
        <v>512984.28450888483</v>
      </c>
      <c r="J174" s="94">
        <v>0.64280899999999996</v>
      </c>
      <c r="K174" s="95">
        <f t="shared" si="28"/>
        <v>6.4280899999999994E-4</v>
      </c>
      <c r="L174" s="96">
        <v>0.6</v>
      </c>
      <c r="M174" s="116">
        <f t="shared" si="29"/>
        <v>6.4806490272696626</v>
      </c>
      <c r="N174" s="116">
        <f t="shared" si="30"/>
        <v>652.39423054098825</v>
      </c>
      <c r="O174" s="116">
        <v>643.76394289458608</v>
      </c>
      <c r="P174" s="116">
        <v>0.6455670502362556</v>
      </c>
      <c r="Q174" s="116">
        <f t="shared" si="31"/>
        <v>11.463956585833673</v>
      </c>
      <c r="R174" s="101">
        <f t="shared" si="35"/>
        <v>95221.076285851886</v>
      </c>
      <c r="S174" s="101">
        <v>95328.545143981653</v>
      </c>
      <c r="T174" s="101"/>
      <c r="U174" s="104">
        <f t="shared" si="36"/>
        <v>1.0806018523243699</v>
      </c>
      <c r="V174" s="104">
        <f t="shared" si="37"/>
        <v>0.96664839962317117</v>
      </c>
    </row>
    <row r="175" spans="1:22">
      <c r="A175" s="44" t="s">
        <v>104</v>
      </c>
      <c r="B175" s="90">
        <v>96417</v>
      </c>
      <c r="C175" s="91">
        <f t="shared" si="33"/>
        <v>-7.2282457603558559E-3</v>
      </c>
      <c r="D175" s="90">
        <v>24394</v>
      </c>
      <c r="E175" s="115">
        <f t="shared" si="34"/>
        <v>0.14300440446068774</v>
      </c>
      <c r="F175" s="44">
        <v>95410.034</v>
      </c>
      <c r="G175" s="44">
        <v>27518.837</v>
      </c>
      <c r="H175" s="92">
        <v>3.7157196551561356E-2</v>
      </c>
      <c r="I175" s="101">
        <f t="shared" si="32"/>
        <v>521442.06362152612</v>
      </c>
      <c r="J175" s="94">
        <v>0.648617</v>
      </c>
      <c r="K175" s="95">
        <f t="shared" si="28"/>
        <v>6.4861699999999999E-4</v>
      </c>
      <c r="L175" s="96">
        <v>0.6</v>
      </c>
      <c r="M175" s="116">
        <f t="shared" si="29"/>
        <v>6.459945374551725</v>
      </c>
      <c r="N175" s="116">
        <f t="shared" si="30"/>
        <v>639.02614852630506</v>
      </c>
      <c r="O175" s="116">
        <v>641.5163182273343</v>
      </c>
      <c r="P175" s="116">
        <v>0.64892553153929255</v>
      </c>
      <c r="Q175" s="116">
        <f t="shared" si="31"/>
        <v>11.470113614634331</v>
      </c>
      <c r="R175" s="101">
        <f t="shared" si="35"/>
        <v>95809.163772954824</v>
      </c>
      <c r="S175" s="101">
        <v>95818.50358119297</v>
      </c>
      <c r="T175" s="101"/>
      <c r="U175" s="104">
        <f t="shared" si="36"/>
        <v>-0.4165883066265641</v>
      </c>
      <c r="V175" s="104">
        <f t="shared" si="37"/>
        <v>-0.42629509533808063</v>
      </c>
    </row>
    <row r="176" spans="1:22">
      <c r="A176" s="44" t="s">
        <v>105</v>
      </c>
      <c r="B176" s="90">
        <v>99117</v>
      </c>
      <c r="C176" s="91">
        <f t="shared" si="33"/>
        <v>3.4678219113732478E-2</v>
      </c>
      <c r="D176" s="90">
        <v>30492</v>
      </c>
      <c r="E176" s="115">
        <f t="shared" si="34"/>
        <v>8.4507042253521236E-2</v>
      </c>
      <c r="F176" s="44">
        <v>96667.978000000003</v>
      </c>
      <c r="G176" s="44">
        <v>25582.664000000001</v>
      </c>
      <c r="H176" s="92">
        <v>3.7157196551561356E-2</v>
      </c>
      <c r="I176" s="101">
        <f t="shared" si="32"/>
        <v>527649.40237328934</v>
      </c>
      <c r="J176" s="94">
        <v>0.63934000000000002</v>
      </c>
      <c r="K176" s="95">
        <f t="shared" si="28"/>
        <v>6.3934000000000007E-4</v>
      </c>
      <c r="L176" s="96">
        <v>0.6</v>
      </c>
      <c r="M176" s="116">
        <f t="shared" si="29"/>
        <v>6.4769538769676966</v>
      </c>
      <c r="N176" s="116">
        <f t="shared" si="30"/>
        <v>649.98798426177029</v>
      </c>
      <c r="O176" s="116">
        <v>639.20338069854313</v>
      </c>
      <c r="P176" s="116">
        <v>0.65231529214603057</v>
      </c>
      <c r="Q176" s="116">
        <f t="shared" si="31"/>
        <v>11.47436126176434</v>
      </c>
      <c r="R176" s="101">
        <f t="shared" si="35"/>
        <v>96216.992836270772</v>
      </c>
      <c r="S176" s="101">
        <v>96310.018987697316</v>
      </c>
      <c r="T176" s="101"/>
      <c r="U176" s="104">
        <f t="shared" si="36"/>
        <v>0.46871675203636887</v>
      </c>
      <c r="V176" s="104">
        <f t="shared" si="37"/>
        <v>0.3716737013087057</v>
      </c>
    </row>
    <row r="177" spans="1:22">
      <c r="A177" s="44" t="s">
        <v>106</v>
      </c>
      <c r="B177" s="90">
        <v>90713</v>
      </c>
      <c r="C177" s="91">
        <f t="shared" si="33"/>
        <v>-1.0094065780571371E-2</v>
      </c>
      <c r="D177" s="90">
        <v>28273</v>
      </c>
      <c r="E177" s="115">
        <f t="shared" si="34"/>
        <v>-3.875559313673671E-3</v>
      </c>
      <c r="F177" s="44">
        <v>95284.297000000006</v>
      </c>
      <c r="G177" s="44">
        <v>28994.116000000002</v>
      </c>
      <c r="H177" s="92">
        <v>3.7281032651662827E-2</v>
      </c>
      <c r="I177" s="101">
        <f t="shared" si="32"/>
        <v>536972.20377478038</v>
      </c>
      <c r="J177" s="94">
        <v>0.64366800000000002</v>
      </c>
      <c r="K177" s="95">
        <f t="shared" si="28"/>
        <v>6.4366800000000002E-4</v>
      </c>
      <c r="L177" s="96">
        <v>0.6</v>
      </c>
      <c r="M177" s="116">
        <f t="shared" si="29"/>
        <v>6.4514829858865834</v>
      </c>
      <c r="N177" s="116">
        <f t="shared" si="30"/>
        <v>633.64127746130578</v>
      </c>
      <c r="O177" s="116">
        <v>636.84239215881348</v>
      </c>
      <c r="P177" s="116">
        <v>0.65576504825828275</v>
      </c>
      <c r="Q177" s="116">
        <f t="shared" si="31"/>
        <v>11.480831219551952</v>
      </c>
      <c r="R177" s="101">
        <f t="shared" si="35"/>
        <v>96841.530907236491</v>
      </c>
      <c r="S177" s="101">
        <v>96807.706637815601</v>
      </c>
      <c r="T177" s="101"/>
      <c r="U177" s="104">
        <f t="shared" si="36"/>
        <v>-1.6080228107175909</v>
      </c>
      <c r="V177" s="104">
        <f t="shared" si="37"/>
        <v>-1.5736450027838078</v>
      </c>
    </row>
    <row r="178" spans="1:22">
      <c r="A178" s="44" t="s">
        <v>107</v>
      </c>
      <c r="B178" s="90">
        <v>97105</v>
      </c>
      <c r="C178" s="91">
        <f t="shared" si="33"/>
        <v>4.5518026172866044E-3</v>
      </c>
      <c r="D178" s="90">
        <v>27353</v>
      </c>
      <c r="E178" s="115">
        <f t="shared" si="34"/>
        <v>0.27746123668970668</v>
      </c>
      <c r="F178" s="44">
        <v>95894.523000000001</v>
      </c>
      <c r="G178" s="44">
        <v>28553.921999999999</v>
      </c>
      <c r="H178" s="92">
        <v>3.7281032651662827E-2</v>
      </c>
      <c r="I178" s="101">
        <f t="shared" si="32"/>
        <v>545507.2475128175</v>
      </c>
      <c r="J178" s="94">
        <v>0.6482</v>
      </c>
      <c r="K178" s="95">
        <f t="shared" si="28"/>
        <v>6.4820000000000003E-4</v>
      </c>
      <c r="L178" s="96">
        <v>0.6</v>
      </c>
      <c r="M178" s="116">
        <f t="shared" si="29"/>
        <v>6.4473491925641921</v>
      </c>
      <c r="N178" s="116">
        <f t="shared" si="30"/>
        <v>631.02734183685664</v>
      </c>
      <c r="O178" s="116">
        <v>634.45735483597332</v>
      </c>
      <c r="P178" s="116">
        <v>0.65929540652027085</v>
      </c>
      <c r="Q178" s="116">
        <f t="shared" si="31"/>
        <v>11.486608474245335</v>
      </c>
      <c r="R178" s="101">
        <f t="shared" si="35"/>
        <v>97402.62833693478</v>
      </c>
      <c r="S178" s="101">
        <v>97316.405530251446</v>
      </c>
      <c r="T178" s="101"/>
      <c r="U178" s="104">
        <f t="shared" si="36"/>
        <v>-1.5483209875178594</v>
      </c>
      <c r="V178" s="104">
        <f t="shared" si="37"/>
        <v>-1.4610923230301998</v>
      </c>
    </row>
    <row r="179" spans="1:22">
      <c r="A179" s="44" t="s">
        <v>108</v>
      </c>
      <c r="B179" s="90">
        <v>96710</v>
      </c>
      <c r="C179" s="91">
        <f t="shared" si="33"/>
        <v>3.0388831845007402E-3</v>
      </c>
      <c r="D179" s="90">
        <v>26566</v>
      </c>
      <c r="E179" s="115">
        <f t="shared" si="34"/>
        <v>8.9038288103632013E-2</v>
      </c>
      <c r="F179" s="44">
        <v>95829.338000000003</v>
      </c>
      <c r="G179" s="44">
        <v>29578.044999999998</v>
      </c>
      <c r="H179" s="92">
        <v>3.7281032651662827E-2</v>
      </c>
      <c r="I179" s="101">
        <f t="shared" si="32"/>
        <v>554748.21900657343</v>
      </c>
      <c r="J179" s="94">
        <v>0.65249800000000002</v>
      </c>
      <c r="K179" s="95">
        <f t="shared" si="28"/>
        <v>6.5249800000000005E-4</v>
      </c>
      <c r="L179" s="96">
        <v>0.6</v>
      </c>
      <c r="M179" s="116">
        <f t="shared" si="29"/>
        <v>6.4359846300634809</v>
      </c>
      <c r="N179" s="116">
        <f t="shared" si="30"/>
        <v>623.89658786700181</v>
      </c>
      <c r="O179" s="116">
        <v>632.07027026116464</v>
      </c>
      <c r="P179" s="116">
        <v>0.66291941292105527</v>
      </c>
      <c r="Q179" s="116">
        <f t="shared" si="31"/>
        <v>11.492847320033086</v>
      </c>
      <c r="R179" s="101">
        <f t="shared" si="35"/>
        <v>98012.207873582025</v>
      </c>
      <c r="S179" s="101">
        <v>97840.002532684812</v>
      </c>
      <c r="T179" s="101"/>
      <c r="U179" s="104">
        <f t="shared" si="36"/>
        <v>-2.2271408031104944</v>
      </c>
      <c r="V179" s="104">
        <f t="shared" si="37"/>
        <v>-2.0550536392444529</v>
      </c>
    </row>
    <row r="180" spans="1:22">
      <c r="A180" s="44" t="s">
        <v>109</v>
      </c>
      <c r="B180" s="90">
        <v>97558</v>
      </c>
      <c r="C180" s="91">
        <f t="shared" si="33"/>
        <v>-1.5728886063944625E-2</v>
      </c>
      <c r="D180" s="90">
        <v>33148</v>
      </c>
      <c r="E180" s="115">
        <f t="shared" si="34"/>
        <v>8.7104814377541695E-2</v>
      </c>
      <c r="F180" s="44">
        <v>96623.188999999998</v>
      </c>
      <c r="G180" s="44">
        <v>27974.598999999998</v>
      </c>
      <c r="H180" s="92">
        <v>3.7281032651662827E-2</v>
      </c>
      <c r="I180" s="101">
        <f t="shared" si="32"/>
        <v>562041.23154033767</v>
      </c>
      <c r="J180" s="94">
        <v>0.65784900000000002</v>
      </c>
      <c r="K180" s="95">
        <f t="shared" si="28"/>
        <v>6.5784900000000006E-4</v>
      </c>
      <c r="L180" s="96">
        <v>0.6</v>
      </c>
      <c r="M180" s="116">
        <f t="shared" si="29"/>
        <v>6.4341097607515847</v>
      </c>
      <c r="N180" s="116">
        <f t="shared" si="30"/>
        <v>622.72795915599079</v>
      </c>
      <c r="O180" s="116">
        <v>629.70099620740496</v>
      </c>
      <c r="P180" s="116">
        <v>0.66664317882062107</v>
      </c>
      <c r="Q180" s="116">
        <f t="shared" si="31"/>
        <v>11.497677089995593</v>
      </c>
      <c r="R180" s="101">
        <f t="shared" si="35"/>
        <v>98486.729283337569</v>
      </c>
      <c r="S180" s="101">
        <v>98381.49583621425</v>
      </c>
      <c r="T180" s="101"/>
      <c r="U180" s="104">
        <f t="shared" si="36"/>
        <v>-1.8921739983631003</v>
      </c>
      <c r="V180" s="104">
        <f t="shared" si="37"/>
        <v>-1.7872332812884695</v>
      </c>
    </row>
    <row r="181" spans="1:22">
      <c r="A181" s="44" t="s">
        <v>110</v>
      </c>
      <c r="B181" s="90">
        <v>93617</v>
      </c>
      <c r="C181" s="91">
        <f>B181/B177-1</f>
        <v>3.2013052153495147E-2</v>
      </c>
      <c r="D181" s="90">
        <v>21986</v>
      </c>
      <c r="E181" s="115">
        <f t="shared" si="34"/>
        <v>-0.22236762989424541</v>
      </c>
      <c r="F181" s="44">
        <v>97582.33</v>
      </c>
      <c r="G181" s="44">
        <v>22963.621999999999</v>
      </c>
      <c r="H181" s="92">
        <v>3.7492867559194565E-2</v>
      </c>
      <c r="I181" s="101">
        <f t="shared" si="32"/>
        <v>563932.3160833891</v>
      </c>
      <c r="J181" s="94">
        <v>0.66895700000000002</v>
      </c>
      <c r="K181" s="95">
        <f t="shared" si="28"/>
        <v>6.6895699999999997E-4</v>
      </c>
      <c r="L181" s="96">
        <v>0.6</v>
      </c>
      <c r="M181" s="116">
        <f t="shared" si="29"/>
        <v>6.4325972019690063</v>
      </c>
      <c r="N181" s="116">
        <f t="shared" si="30"/>
        <v>621.7867585023123</v>
      </c>
      <c r="O181" s="116">
        <v>627.3642818962154</v>
      </c>
      <c r="P181" s="116">
        <v>0.67046630219587766</v>
      </c>
      <c r="Q181" s="116">
        <f t="shared" si="31"/>
        <v>11.498734069167682</v>
      </c>
      <c r="R181" s="101">
        <f t="shared" si="35"/>
        <v>98590.88273923732</v>
      </c>
      <c r="S181" s="101">
        <v>98942.626966605385</v>
      </c>
      <c r="T181" s="101"/>
      <c r="U181" s="104">
        <f t="shared" si="36"/>
        <v>-1.022967551578613</v>
      </c>
      <c r="V181" s="104">
        <f t="shared" si="37"/>
        <v>-1.3748340915432755</v>
      </c>
    </row>
    <row r="182" spans="1:22">
      <c r="A182" s="44" t="s">
        <v>111</v>
      </c>
      <c r="B182" s="90">
        <v>99844</v>
      </c>
      <c r="C182" s="91">
        <f t="shared" ref="C182:C220" si="38">B182/B178-1</f>
        <v>2.8206580505638179E-2</v>
      </c>
      <c r="D182" s="90">
        <v>29673</v>
      </c>
      <c r="E182" s="115">
        <f t="shared" si="34"/>
        <v>8.4817021898877742E-2</v>
      </c>
      <c r="F182" s="44">
        <v>97973.468999999997</v>
      </c>
      <c r="G182" s="44">
        <v>30995.16</v>
      </c>
      <c r="H182" s="92">
        <v>3.7492867559194565E-2</v>
      </c>
      <c r="I182" s="101">
        <f t="shared" si="32"/>
        <v>573784.03644412477</v>
      </c>
      <c r="J182" s="94">
        <v>0.67846700000000004</v>
      </c>
      <c r="K182" s="95">
        <f t="shared" si="28"/>
        <v>6.7846700000000009E-4</v>
      </c>
      <c r="L182" s="96">
        <v>0.6</v>
      </c>
      <c r="M182" s="116">
        <f t="shared" si="29"/>
        <v>6.4212003145132748</v>
      </c>
      <c r="N182" s="116">
        <f t="shared" si="30"/>
        <v>614.74055346566468</v>
      </c>
      <c r="O182" s="116">
        <v>625.07051840096017</v>
      </c>
      <c r="P182" s="116">
        <v>0.67438288466197183</v>
      </c>
      <c r="Q182" s="116">
        <f t="shared" si="31"/>
        <v>11.505493466624509</v>
      </c>
      <c r="R182" s="101">
        <f t="shared" si="35"/>
        <v>99259.55506636748</v>
      </c>
      <c r="S182" s="101">
        <v>99524.038507851248</v>
      </c>
      <c r="T182" s="101"/>
      <c r="U182" s="104">
        <f t="shared" si="36"/>
        <v>-1.29567986226371</v>
      </c>
      <c r="V182" s="104">
        <f t="shared" si="37"/>
        <v>-1.5579849161054038</v>
      </c>
    </row>
    <row r="183" spans="1:22">
      <c r="A183" s="44" t="s">
        <v>112</v>
      </c>
      <c r="B183" s="90">
        <v>101440</v>
      </c>
      <c r="C183" s="91">
        <f t="shared" si="38"/>
        <v>4.8909109709440513E-2</v>
      </c>
      <c r="D183" s="90">
        <v>28685</v>
      </c>
      <c r="E183" s="115">
        <f t="shared" si="34"/>
        <v>7.976360761876089E-2</v>
      </c>
      <c r="F183" s="44">
        <v>99527.517999999996</v>
      </c>
      <c r="G183" s="44">
        <v>31693.036</v>
      </c>
      <c r="H183" s="92">
        <v>3.7492867559194565E-2</v>
      </c>
      <c r="I183" s="101">
        <f t="shared" si="32"/>
        <v>583964.26355814515</v>
      </c>
      <c r="J183" s="94">
        <v>0.68244800000000005</v>
      </c>
      <c r="K183" s="95">
        <f t="shared" si="28"/>
        <v>6.824480000000001E-4</v>
      </c>
      <c r="L183" s="96">
        <v>0.6</v>
      </c>
      <c r="M183" s="116">
        <f t="shared" si="29"/>
        <v>6.4263927879451801</v>
      </c>
      <c r="N183" s="116">
        <f t="shared" si="30"/>
        <v>617.94087906934885</v>
      </c>
      <c r="O183" s="116">
        <v>622.82661084288236</v>
      </c>
      <c r="P183" s="116">
        <v>0.6783860845201779</v>
      </c>
      <c r="Q183" s="116">
        <f t="shared" si="31"/>
        <v>11.512482969605724</v>
      </c>
      <c r="R183" s="101">
        <f t="shared" si="35"/>
        <v>99955.760252213076</v>
      </c>
      <c r="S183" s="101">
        <v>100125.52285834074</v>
      </c>
      <c r="T183" s="101"/>
      <c r="U183" s="104">
        <f t="shared" si="36"/>
        <v>-0.4284317893561318</v>
      </c>
      <c r="V183" s="104">
        <f t="shared" si="37"/>
        <v>-0.5972551665840653</v>
      </c>
    </row>
    <row r="184" spans="1:22">
      <c r="A184" s="44" t="s">
        <v>113</v>
      </c>
      <c r="B184" s="90">
        <v>98362</v>
      </c>
      <c r="C184" s="91">
        <f t="shared" si="38"/>
        <v>8.2412513581664459E-3</v>
      </c>
      <c r="D184" s="90">
        <v>35564</v>
      </c>
      <c r="E184" s="115">
        <f t="shared" si="34"/>
        <v>7.2885241945215506E-2</v>
      </c>
      <c r="F184" s="44">
        <v>99098.94</v>
      </c>
      <c r="G184" s="44">
        <v>30117.717000000001</v>
      </c>
      <c r="H184" s="92">
        <v>3.7492867559194565E-2</v>
      </c>
      <c r="I184" s="101">
        <f t="shared" si="32"/>
        <v>592187.48576525692</v>
      </c>
      <c r="J184" s="94">
        <v>0.68547899999999995</v>
      </c>
      <c r="K184" s="95">
        <f t="shared" si="28"/>
        <v>6.8547899999999991E-4</v>
      </c>
      <c r="L184" s="96">
        <v>0.6</v>
      </c>
      <c r="M184" s="116">
        <f t="shared" si="29"/>
        <v>6.4138250479456982</v>
      </c>
      <c r="N184" s="116">
        <f t="shared" si="30"/>
        <v>610.22335625662652</v>
      </c>
      <c r="O184" s="116">
        <v>620.63300811514034</v>
      </c>
      <c r="P184" s="116">
        <v>0.68247161264385647</v>
      </c>
      <c r="Q184" s="116">
        <f t="shared" si="31"/>
        <v>11.518150755495421</v>
      </c>
      <c r="R184" s="101">
        <f t="shared" si="35"/>
        <v>100523.8966165084</v>
      </c>
      <c r="S184" s="101">
        <v>100745.90331052036</v>
      </c>
      <c r="T184" s="101"/>
      <c r="U184" s="104">
        <f t="shared" si="36"/>
        <v>-1.4175302236288156</v>
      </c>
      <c r="V184" s="104">
        <f t="shared" si="37"/>
        <v>-1.6347695106212479</v>
      </c>
    </row>
    <row r="185" spans="1:22">
      <c r="A185" s="44" t="s">
        <v>114</v>
      </c>
      <c r="B185" s="90">
        <v>96746</v>
      </c>
      <c r="C185" s="91">
        <f t="shared" si="38"/>
        <v>3.3423416687140106E-2</v>
      </c>
      <c r="D185" s="90">
        <v>30605</v>
      </c>
      <c r="E185" s="115">
        <f t="shared" si="34"/>
        <v>0.39202219594287269</v>
      </c>
      <c r="F185" s="44">
        <v>100616.89</v>
      </c>
      <c r="G185" s="44">
        <v>31561.921999999999</v>
      </c>
      <c r="H185" s="92">
        <v>3.7774782627820969E-2</v>
      </c>
      <c r="I185" s="101">
        <f t="shared" si="32"/>
        <v>601379.65421555855</v>
      </c>
      <c r="J185" s="94">
        <v>0.68627700000000003</v>
      </c>
      <c r="K185" s="95">
        <f t="shared" si="28"/>
        <v>6.86277E-4</v>
      </c>
      <c r="L185" s="96">
        <v>0.6</v>
      </c>
      <c r="M185" s="116">
        <f t="shared" si="29"/>
        <v>6.422167093496812</v>
      </c>
      <c r="N185" s="116">
        <f t="shared" si="30"/>
        <v>615.33515909288235</v>
      </c>
      <c r="O185" s="116">
        <v>618.48710552853424</v>
      </c>
      <c r="P185" s="116">
        <v>0.68663771860354317</v>
      </c>
      <c r="Q185" s="116">
        <f t="shared" si="31"/>
        <v>11.524499952469451</v>
      </c>
      <c r="R185" s="101">
        <f t="shared" si="35"/>
        <v>101164.17310658348</v>
      </c>
      <c r="S185" s="101">
        <v>101383.62940380011</v>
      </c>
      <c r="T185" s="101"/>
      <c r="U185" s="104">
        <f t="shared" si="36"/>
        <v>-0.54098510349792628</v>
      </c>
      <c r="V185" s="104">
        <f t="shared" si="37"/>
        <v>-0.7562753556062507</v>
      </c>
    </row>
    <row r="186" spans="1:22">
      <c r="A186" s="44" t="s">
        <v>115</v>
      </c>
      <c r="B186" s="90">
        <v>104229</v>
      </c>
      <c r="C186" s="91">
        <f t="shared" si="38"/>
        <v>4.3918512880092964E-2</v>
      </c>
      <c r="D186" s="90">
        <v>33132</v>
      </c>
      <c r="E186" s="115">
        <f t="shared" si="34"/>
        <v>0.11657061975533312</v>
      </c>
      <c r="F186" s="44">
        <v>101936.62</v>
      </c>
      <c r="G186" s="44">
        <v>34716.559999999998</v>
      </c>
      <c r="H186" s="92">
        <v>3.7774782627820969E-2</v>
      </c>
      <c r="I186" s="101">
        <f t="shared" si="32"/>
        <v>613379.22850077157</v>
      </c>
      <c r="J186" s="94">
        <v>0.68746499999999999</v>
      </c>
      <c r="K186" s="95">
        <f t="shared" si="28"/>
        <v>6.8746499999999995E-4</v>
      </c>
      <c r="L186" s="96">
        <v>0.6</v>
      </c>
      <c r="M186" s="116">
        <f t="shared" si="29"/>
        <v>6.4262576756044556</v>
      </c>
      <c r="N186" s="116">
        <f t="shared" si="30"/>
        <v>617.85739327085616</v>
      </c>
      <c r="O186" s="116">
        <v>616.37979236145247</v>
      </c>
      <c r="P186" s="116">
        <v>0.69088453158687113</v>
      </c>
      <c r="Q186" s="116">
        <f t="shared" si="31"/>
        <v>11.532689242951175</v>
      </c>
      <c r="R186" s="101">
        <f t="shared" si="35"/>
        <v>101996.03744681798</v>
      </c>
      <c r="S186" s="101">
        <v>102036.12132552096</v>
      </c>
      <c r="T186" s="101"/>
      <c r="U186" s="104">
        <f t="shared" si="36"/>
        <v>-5.8254661950929432E-2</v>
      </c>
      <c r="V186" s="104">
        <f t="shared" si="37"/>
        <v>-9.751578581033149E-2</v>
      </c>
    </row>
    <row r="187" spans="1:22">
      <c r="A187" s="44" t="s">
        <v>116</v>
      </c>
      <c r="B187" s="90">
        <v>103324</v>
      </c>
      <c r="C187" s="91">
        <f t="shared" si="38"/>
        <v>1.8572555205047303E-2</v>
      </c>
      <c r="D187" s="90">
        <v>31069</v>
      </c>
      <c r="E187" s="115">
        <f t="shared" si="34"/>
        <v>8.3109639184242745E-2</v>
      </c>
      <c r="F187" s="44">
        <v>101714.65</v>
      </c>
      <c r="G187" s="44">
        <v>34185.292999999998</v>
      </c>
      <c r="H187" s="92">
        <v>3.7774782627820969E-2</v>
      </c>
      <c r="I187" s="101">
        <f t="shared" si="32"/>
        <v>624394.25447573431</v>
      </c>
      <c r="J187" s="94">
        <v>0.69096500000000005</v>
      </c>
      <c r="K187" s="95">
        <f t="shared" si="28"/>
        <v>6.9096500000000009E-4</v>
      </c>
      <c r="L187" s="96">
        <v>0.6</v>
      </c>
      <c r="M187" s="116">
        <f t="shared" si="29"/>
        <v>6.4139113810660326</v>
      </c>
      <c r="N187" s="116">
        <f t="shared" si="30"/>
        <v>610.27604101726024</v>
      </c>
      <c r="O187" s="116">
        <v>614.29998792576123</v>
      </c>
      <c r="P187" s="116">
        <v>0.69521195533234637</v>
      </c>
      <c r="Q187" s="116">
        <f>LN(O187)+LN(P187)*L187+LN(I187)*(1-L187)</f>
        <v>11.540175189951732</v>
      </c>
      <c r="R187" s="101">
        <f t="shared" si="35"/>
        <v>102762.43942063453</v>
      </c>
      <c r="S187" s="101">
        <v>102700.32005089649</v>
      </c>
      <c r="T187" s="101"/>
      <c r="U187" s="104">
        <f t="shared" si="36"/>
        <v>-1.0196229542057234</v>
      </c>
      <c r="V187" s="104">
        <f t="shared" si="37"/>
        <v>-0.9597536311552135</v>
      </c>
    </row>
    <row r="188" spans="1:22">
      <c r="A188" s="44" t="s">
        <v>117</v>
      </c>
      <c r="B188" s="90">
        <v>103236</v>
      </c>
      <c r="C188" s="91">
        <f t="shared" si="38"/>
        <v>4.9551656127366339E-2</v>
      </c>
      <c r="D188" s="90">
        <v>33474</v>
      </c>
      <c r="E188" s="115">
        <f t="shared" si="34"/>
        <v>-5.876729276796766E-2</v>
      </c>
      <c r="F188" s="44">
        <v>102800.34</v>
      </c>
      <c r="G188" s="44">
        <v>27654.626</v>
      </c>
      <c r="H188" s="92">
        <v>3.7774782627820969E-2</v>
      </c>
      <c r="I188" s="101">
        <f t="shared" si="32"/>
        <v>628462.5232388532</v>
      </c>
      <c r="J188" s="94">
        <v>0.69604600000000005</v>
      </c>
      <c r="K188" s="95">
        <f t="shared" si="28"/>
        <v>6.9604600000000008E-4</v>
      </c>
      <c r="L188" s="96">
        <v>0.6</v>
      </c>
      <c r="M188" s="116">
        <f t="shared" si="29"/>
        <v>6.4175349861819111</v>
      </c>
      <c r="N188" s="116">
        <f t="shared" si="30"/>
        <v>612.49145186450528</v>
      </c>
      <c r="O188" s="116">
        <v>612.23753503389514</v>
      </c>
      <c r="P188" s="116">
        <v>0.69961775637123302</v>
      </c>
      <c r="Q188" s="116">
        <f t="shared" si="31"/>
        <v>11.543200313638344</v>
      </c>
      <c r="R188" s="101">
        <f t="shared" si="35"/>
        <v>103073.77919344843</v>
      </c>
      <c r="S188" s="101">
        <v>103373.10436681185</v>
      </c>
      <c r="T188" s="101"/>
      <c r="U188" s="104">
        <f t="shared" si="36"/>
        <v>-0.26528492075102994</v>
      </c>
      <c r="V188" s="104">
        <f t="shared" si="37"/>
        <v>-0.55407484405174401</v>
      </c>
    </row>
    <row r="189" spans="1:22">
      <c r="A189" s="44" t="s">
        <v>118</v>
      </c>
      <c r="B189" s="90">
        <v>99679</v>
      </c>
      <c r="C189" s="91">
        <f t="shared" si="38"/>
        <v>3.0316498873338427E-2</v>
      </c>
      <c r="D189" s="90">
        <v>32330</v>
      </c>
      <c r="E189" s="115">
        <f t="shared" si="34"/>
        <v>5.6363339323640016E-2</v>
      </c>
      <c r="F189" s="44">
        <v>104231.28</v>
      </c>
      <c r="G189" s="44">
        <v>33199.576000000001</v>
      </c>
      <c r="H189" s="92">
        <v>3.8093328475952148E-2</v>
      </c>
      <c r="I189" s="101">
        <f t="shared" si="32"/>
        <v>637721.86990628985</v>
      </c>
      <c r="J189" s="94">
        <v>0.69724799999999998</v>
      </c>
      <c r="K189" s="95">
        <f t="shared" si="28"/>
        <v>6.9724800000000003E-4</v>
      </c>
      <c r="L189" s="96">
        <v>0.6</v>
      </c>
      <c r="M189" s="116">
        <f t="shared" si="29"/>
        <v>6.424473017048979</v>
      </c>
      <c r="N189" s="116">
        <f t="shared" si="30"/>
        <v>616.75571214262141</v>
      </c>
      <c r="O189" s="116">
        <v>610.17976153147117</v>
      </c>
      <c r="P189" s="116">
        <v>0.70409704688771269</v>
      </c>
      <c r="Q189" s="116">
        <f t="shared" si="31"/>
        <v>11.549513166487149</v>
      </c>
      <c r="R189" s="101">
        <f t="shared" si="35"/>
        <v>103726.52697663815</v>
      </c>
      <c r="S189" s="101">
        <v>104050.73701637037</v>
      </c>
      <c r="T189" s="101"/>
      <c r="U189" s="104">
        <f t="shared" si="36"/>
        <v>0.48661903379405569</v>
      </c>
      <c r="V189" s="104">
        <f t="shared" si="37"/>
        <v>0.17351437270571868</v>
      </c>
    </row>
    <row r="190" spans="1:22">
      <c r="A190" s="44" t="s">
        <v>119</v>
      </c>
      <c r="B190" s="90">
        <v>105177</v>
      </c>
      <c r="C190" s="91">
        <f t="shared" si="38"/>
        <v>9.0953573381689079E-3</v>
      </c>
      <c r="D190" s="90">
        <v>29957</v>
      </c>
      <c r="E190" s="115">
        <f t="shared" si="34"/>
        <v>-9.5828805988168564E-2</v>
      </c>
      <c r="F190" s="44">
        <v>104543.12</v>
      </c>
      <c r="G190" s="44">
        <v>31936.753000000001</v>
      </c>
      <c r="H190" s="92">
        <v>3.8093328475952148E-2</v>
      </c>
      <c r="I190" s="101">
        <f t="shared" si="32"/>
        <v>645365.67423965118</v>
      </c>
      <c r="J190" s="94">
        <v>0.69957800000000003</v>
      </c>
      <c r="K190" s="95">
        <f t="shared" si="28"/>
        <v>6.9957800000000007E-4</v>
      </c>
      <c r="L190" s="96">
        <v>0.6</v>
      </c>
      <c r="M190" s="116">
        <f t="shared" si="29"/>
        <v>6.4206927378065188</v>
      </c>
      <c r="N190" s="116">
        <f t="shared" si="30"/>
        <v>614.42860465569947</v>
      </c>
      <c r="O190" s="116">
        <v>608.11415396212533</v>
      </c>
      <c r="P190" s="116">
        <v>0.70864270671823482</v>
      </c>
      <c r="Q190" s="116">
        <f t="shared" si="31"/>
        <v>11.554749274812803</v>
      </c>
      <c r="R190" s="101">
        <f t="shared" si="35"/>
        <v>104271.07471946951</v>
      </c>
      <c r="S190" s="101">
        <v>104729.12276494615</v>
      </c>
      <c r="T190" s="101"/>
      <c r="U190" s="104">
        <f t="shared" si="36"/>
        <v>0.26090196275658784</v>
      </c>
      <c r="V190" s="104">
        <f t="shared" si="37"/>
        <v>-0.1776036693858507</v>
      </c>
    </row>
    <row r="191" spans="1:22">
      <c r="A191" s="44" t="s">
        <v>120</v>
      </c>
      <c r="B191" s="90">
        <v>108275</v>
      </c>
      <c r="C191" s="91">
        <f t="shared" si="38"/>
        <v>4.7917231233788771E-2</v>
      </c>
      <c r="D191" s="90">
        <v>31476</v>
      </c>
      <c r="E191" s="115">
        <f t="shared" si="34"/>
        <v>1.3099874472947359E-2</v>
      </c>
      <c r="F191" s="44">
        <v>105996.51</v>
      </c>
      <c r="G191" s="44">
        <v>34827.652000000002</v>
      </c>
      <c r="H191" s="92">
        <v>3.8093328475952148E-2</v>
      </c>
      <c r="I191" s="101">
        <f t="shared" si="32"/>
        <v>655609.19962373585</v>
      </c>
      <c r="J191" s="94">
        <v>0.71138000000000001</v>
      </c>
      <c r="K191" s="95">
        <f t="shared" si="28"/>
        <v>7.1138000000000006E-4</v>
      </c>
      <c r="L191" s="96">
        <v>0.6</v>
      </c>
      <c r="M191" s="116">
        <f t="shared" si="29"/>
        <v>6.4181625048384365</v>
      </c>
      <c r="N191" s="116">
        <f t="shared" si="30"/>
        <v>612.8759222960806</v>
      </c>
      <c r="O191" s="116">
        <v>606.03230883862545</v>
      </c>
      <c r="P191" s="116">
        <v>0.71324333504494408</v>
      </c>
      <c r="Q191" s="116">
        <f t="shared" si="31"/>
        <v>11.561501782762628</v>
      </c>
      <c r="R191" s="101">
        <f t="shared" si="35"/>
        <v>104977.54853107978</v>
      </c>
      <c r="S191" s="101">
        <v>105404.27921727802</v>
      </c>
      <c r="T191" s="101"/>
      <c r="U191" s="104">
        <f t="shared" si="36"/>
        <v>0.97064704137050928</v>
      </c>
      <c r="V191" s="104">
        <f t="shared" si="37"/>
        <v>0.56186597652374548</v>
      </c>
    </row>
    <row r="192" spans="1:22">
      <c r="A192" s="44" t="s">
        <v>121</v>
      </c>
      <c r="B192" s="90">
        <v>110118</v>
      </c>
      <c r="C192" s="91">
        <f t="shared" si="38"/>
        <v>6.6662792049285047E-2</v>
      </c>
      <c r="D192" s="90">
        <v>45126</v>
      </c>
      <c r="E192" s="115">
        <f t="shared" si="34"/>
        <v>0.34809105574475718</v>
      </c>
      <c r="F192" s="44">
        <v>107068.18</v>
      </c>
      <c r="G192" s="44">
        <v>38704.777999999998</v>
      </c>
      <c r="H192" s="92">
        <v>3.8093328475952148E-2</v>
      </c>
      <c r="I192" s="101">
        <f t="shared" si="32"/>
        <v>669339.64103061287</v>
      </c>
      <c r="J192" s="94">
        <v>0.71575800000000001</v>
      </c>
      <c r="K192" s="95">
        <f t="shared" si="28"/>
        <v>7.1575800000000004E-4</v>
      </c>
      <c r="L192" s="96">
        <v>0.6</v>
      </c>
      <c r="M192" s="116">
        <f t="shared" si="29"/>
        <v>6.4162502435973234</v>
      </c>
      <c r="N192" s="116">
        <f t="shared" si="30"/>
        <v>611.70506327521878</v>
      </c>
      <c r="O192" s="116">
        <v>603.92976920542299</v>
      </c>
      <c r="P192" s="116">
        <v>0.71788186560828615</v>
      </c>
      <c r="Q192" s="116">
        <f t="shared" si="31"/>
        <v>11.570206519367041</v>
      </c>
      <c r="R192" s="101">
        <f t="shared" si="35"/>
        <v>105895.33920820845</v>
      </c>
      <c r="S192" s="101">
        <v>106072.10772637672</v>
      </c>
      <c r="T192" s="101"/>
      <c r="U192" s="104">
        <f t="shared" si="36"/>
        <v>1.1075471314988983</v>
      </c>
      <c r="V192" s="104">
        <f t="shared" si="37"/>
        <v>0.93905202316968417</v>
      </c>
    </row>
    <row r="193" spans="1:22">
      <c r="A193" s="44" t="s">
        <v>122</v>
      </c>
      <c r="B193" s="90">
        <v>101100</v>
      </c>
      <c r="C193" s="91">
        <f t="shared" si="38"/>
        <v>1.4255760992786914E-2</v>
      </c>
      <c r="D193" s="90">
        <v>35237</v>
      </c>
      <c r="E193" s="115">
        <f t="shared" si="34"/>
        <v>8.9916486235694482E-2</v>
      </c>
      <c r="F193" s="44">
        <v>107007.92</v>
      </c>
      <c r="G193" s="44">
        <v>36062.044999999998</v>
      </c>
      <c r="H193" s="92">
        <v>3.8487061858177185E-2</v>
      </c>
      <c r="I193" s="101">
        <f t="shared" si="32"/>
        <v>679640.76986213762</v>
      </c>
      <c r="J193" s="94">
        <v>0.71443500000000004</v>
      </c>
      <c r="K193" s="95">
        <f t="shared" si="28"/>
        <v>7.1443500000000003E-4</v>
      </c>
      <c r="L193" s="96">
        <v>0.6</v>
      </c>
      <c r="M193" s="116">
        <f t="shared" si="29"/>
        <v>6.4106882212920056</v>
      </c>
      <c r="N193" s="116">
        <f t="shared" si="30"/>
        <v>608.31219043306737</v>
      </c>
      <c r="O193" s="116">
        <v>601.80635536538034</v>
      </c>
      <c r="P193" s="116">
        <v>0.72254006756430389</v>
      </c>
      <c r="Q193" s="116">
        <f t="shared" si="31"/>
        <v>11.576674145695524</v>
      </c>
      <c r="R193" s="101">
        <f t="shared" ref="R193:R232" si="39">EXP(Q193)</f>
        <v>106582.45028581924</v>
      </c>
      <c r="S193" s="101">
        <v>106728.87978949225</v>
      </c>
      <c r="T193" s="101"/>
      <c r="U193" s="104">
        <f t="shared" ref="U193:U220" si="40">(F193/R193-1)*100</f>
        <v>0.39919303134783313</v>
      </c>
      <c r="V193" s="104">
        <f t="shared" ref="V193:V220" si="41">(F193/S193-1)*100</f>
        <v>0.26144770849101384</v>
      </c>
    </row>
    <row r="194" spans="1:22">
      <c r="A194" s="44" t="s">
        <v>123</v>
      </c>
      <c r="B194" s="90">
        <v>107841</v>
      </c>
      <c r="C194" s="91">
        <f t="shared" si="38"/>
        <v>2.5328731566787388E-2</v>
      </c>
      <c r="D194" s="90">
        <v>39356</v>
      </c>
      <c r="E194" s="115">
        <f t="shared" si="34"/>
        <v>0.3137497079146776</v>
      </c>
      <c r="F194" s="44">
        <v>108686.54</v>
      </c>
      <c r="G194" s="44">
        <v>41698.417999999998</v>
      </c>
      <c r="H194" s="92">
        <v>3.8487061858177185E-2</v>
      </c>
      <c r="I194" s="101">
        <f t="shared" si="32"/>
        <v>695181.81151111436</v>
      </c>
      <c r="J194" s="94">
        <v>0.72067400000000004</v>
      </c>
      <c r="K194" s="95">
        <f t="shared" ref="K194:K220" si="42">J194/1000</f>
        <v>7.2067400000000003E-4</v>
      </c>
      <c r="L194" s="96">
        <v>0.6</v>
      </c>
      <c r="M194" s="116">
        <f t="shared" ref="M194:M232" si="43">LN(F194)-L194*LN(J194)-(1-L194)*LN(I194)</f>
        <v>6.4119927987860432</v>
      </c>
      <c r="N194" s="116">
        <f t="shared" ref="N194:N220" si="44">EXP(M194)</f>
        <v>609.10629870131652</v>
      </c>
      <c r="O194" s="116">
        <v>599.66674718015349</v>
      </c>
      <c r="P194" s="116">
        <v>0.72719838265303494</v>
      </c>
      <c r="Q194" s="116">
        <f t="shared" ref="Q194:Q202" si="45">LN(O194)+LN(P194)*L194+LN(I194)*(1-L194)</f>
        <v>11.586011979281601</v>
      </c>
      <c r="R194" s="101">
        <f t="shared" si="39"/>
        <v>107582.36070272171</v>
      </c>
      <c r="S194" s="101">
        <v>107371.48944904558</v>
      </c>
      <c r="T194" s="101"/>
      <c r="U194" s="104">
        <f t="shared" si="40"/>
        <v>1.0263571928203152</v>
      </c>
      <c r="V194" s="104">
        <f t="shared" si="41"/>
        <v>1.2247669820939722</v>
      </c>
    </row>
    <row r="195" spans="1:22">
      <c r="A195" s="44" t="s">
        <v>124</v>
      </c>
      <c r="B195" s="90">
        <v>111758</v>
      </c>
      <c r="C195" s="91">
        <f t="shared" si="38"/>
        <v>3.2168090510274805E-2</v>
      </c>
      <c r="D195" s="90">
        <v>36762</v>
      </c>
      <c r="E195" s="115">
        <f t="shared" si="34"/>
        <v>0.1679374761723218</v>
      </c>
      <c r="F195" s="44">
        <v>109376.31</v>
      </c>
      <c r="G195" s="44">
        <v>40368.773000000001</v>
      </c>
      <c r="H195" s="92">
        <v>3.8487061858177185E-2</v>
      </c>
      <c r="I195" s="101">
        <f t="shared" ref="I195:I232" si="46">I194*(1-H195)+G195</f>
        <v>708795.07912880648</v>
      </c>
      <c r="J195" s="94">
        <v>0.72798499999999999</v>
      </c>
      <c r="K195" s="95">
        <f t="shared" si="42"/>
        <v>7.27985E-4</v>
      </c>
      <c r="L195" s="96">
        <v>0.6</v>
      </c>
      <c r="M195" s="116">
        <f t="shared" si="43"/>
        <v>6.4045058076828267</v>
      </c>
      <c r="N195" s="116">
        <f t="shared" si="44"/>
        <v>604.56295447402147</v>
      </c>
      <c r="O195" s="116">
        <v>597.51969065831588</v>
      </c>
      <c r="P195" s="116">
        <v>0.73183218694728924</v>
      </c>
      <c r="Q195" s="116">
        <f t="shared" si="45"/>
        <v>11.593993506159046</v>
      </c>
      <c r="R195" s="101">
        <f t="shared" si="39"/>
        <v>108444.4680961843</v>
      </c>
      <c r="S195" s="101">
        <v>107997.00514758927</v>
      </c>
      <c r="T195" s="101"/>
      <c r="U195" s="104">
        <f t="shared" si="40"/>
        <v>0.85928025668327024</v>
      </c>
      <c r="V195" s="104">
        <f t="shared" si="41"/>
        <v>1.2771695386605941</v>
      </c>
    </row>
    <row r="196" spans="1:22">
      <c r="A196" s="44" t="s">
        <v>125</v>
      </c>
      <c r="B196" s="90">
        <v>114605</v>
      </c>
      <c r="C196" s="91">
        <f t="shared" si="38"/>
        <v>4.0747198459833989E-2</v>
      </c>
      <c r="D196" s="90">
        <v>44939</v>
      </c>
      <c r="E196" s="115">
        <f t="shared" si="34"/>
        <v>-4.1439524885875656E-3</v>
      </c>
      <c r="F196" s="44">
        <v>110016.11</v>
      </c>
      <c r="G196" s="44">
        <v>37984.188000000002</v>
      </c>
      <c r="H196" s="92">
        <v>3.8487061858177185E-2</v>
      </c>
      <c r="I196" s="101">
        <f t="shared" si="46"/>
        <v>719499.82707360445</v>
      </c>
      <c r="J196" s="94">
        <v>0.73110699999999995</v>
      </c>
      <c r="K196" s="95">
        <f t="shared" si="42"/>
        <v>7.3110699999999994E-4</v>
      </c>
      <c r="L196" s="96">
        <v>0.6</v>
      </c>
      <c r="M196" s="116">
        <f t="shared" si="43"/>
        <v>6.4017747356788224</v>
      </c>
      <c r="N196" s="116">
        <f t="shared" si="44"/>
        <v>602.9141021065343</v>
      </c>
      <c r="O196" s="116">
        <v>595.37983152814161</v>
      </c>
      <c r="P196" s="116">
        <v>0.73641277878071854</v>
      </c>
      <c r="Q196" s="116">
        <f t="shared" si="45"/>
        <v>11.600145514137147</v>
      </c>
      <c r="R196" s="101">
        <f t="shared" si="39"/>
        <v>109113.67570372818</v>
      </c>
      <c r="S196" s="101">
        <v>108603.31723427023</v>
      </c>
      <c r="T196" s="101"/>
      <c r="U196" s="104">
        <f t="shared" si="40"/>
        <v>0.82705883607310238</v>
      </c>
      <c r="V196" s="104">
        <f t="shared" si="41"/>
        <v>1.3008744131472572</v>
      </c>
    </row>
    <row r="197" spans="1:22">
      <c r="A197" s="44" t="s">
        <v>126</v>
      </c>
      <c r="B197" s="90">
        <v>105084</v>
      </c>
      <c r="C197" s="91">
        <f t="shared" si="38"/>
        <v>3.9406528189910972E-2</v>
      </c>
      <c r="D197" s="90">
        <v>42426</v>
      </c>
      <c r="E197" s="115">
        <f t="shared" si="34"/>
        <v>0.20401850327780457</v>
      </c>
      <c r="F197" s="44">
        <v>110404.65</v>
      </c>
      <c r="G197" s="44">
        <v>43104.81</v>
      </c>
      <c r="H197" s="92">
        <v>3.9075747132301331E-2</v>
      </c>
      <c r="I197" s="101">
        <f t="shared" si="46"/>
        <v>734489.64376914175</v>
      </c>
      <c r="J197" s="94">
        <v>0.734043</v>
      </c>
      <c r="K197" s="95">
        <f t="shared" si="42"/>
        <v>7.3404299999999998E-4</v>
      </c>
      <c r="L197" s="96">
        <v>0.6</v>
      </c>
      <c r="M197" s="116">
        <f t="shared" si="43"/>
        <v>6.3946476629717015</v>
      </c>
      <c r="N197" s="116">
        <f t="shared" si="44"/>
        <v>598.63236571224695</v>
      </c>
      <c r="O197" s="116">
        <v>593.26621755778945</v>
      </c>
      <c r="P197" s="116">
        <v>0.74090905199513235</v>
      </c>
      <c r="Q197" s="116">
        <f t="shared" si="45"/>
        <v>11.608489262821738</v>
      </c>
      <c r="R197" s="101">
        <f t="shared" si="39"/>
        <v>110027.9015232057</v>
      </c>
      <c r="S197" s="101">
        <v>109189.17812376808</v>
      </c>
      <c r="T197" s="101"/>
      <c r="U197" s="104">
        <f t="shared" si="40"/>
        <v>0.34241176245175531</v>
      </c>
      <c r="V197" s="104">
        <f t="shared" si="41"/>
        <v>1.1131798014397898</v>
      </c>
    </row>
    <row r="198" spans="1:22">
      <c r="A198" s="44" t="s">
        <v>127</v>
      </c>
      <c r="B198" s="90">
        <v>107915</v>
      </c>
      <c r="C198" s="91">
        <f t="shared" si="38"/>
        <v>6.8619541732739542E-4</v>
      </c>
      <c r="D198" s="90">
        <v>34058</v>
      </c>
      <c r="E198" s="115">
        <f t="shared" ref="E198:E220" si="47">D198/D194-1</f>
        <v>-0.1346173391604838</v>
      </c>
      <c r="F198" s="44">
        <v>109689.94</v>
      </c>
      <c r="G198" s="44">
        <v>36853.925999999999</v>
      </c>
      <c r="H198" s="92">
        <v>3.9075747132301331E-2</v>
      </c>
      <c r="I198" s="101">
        <f t="shared" si="46"/>
        <v>742642.83817792463</v>
      </c>
      <c r="J198" s="94">
        <v>0.73989199999999999</v>
      </c>
      <c r="K198" s="95">
        <f t="shared" si="42"/>
        <v>7.3989200000000002E-4</v>
      </c>
      <c r="L198" s="96">
        <v>0.6</v>
      </c>
      <c r="M198" s="116">
        <f t="shared" si="43"/>
        <v>6.3789753647146528</v>
      </c>
      <c r="N198" s="116">
        <f t="shared" si="44"/>
        <v>589.32355648356065</v>
      </c>
      <c r="O198" s="116">
        <v>591.20260543452957</v>
      </c>
      <c r="P198" s="116">
        <v>0.74528658432060235</v>
      </c>
      <c r="Q198" s="116">
        <f t="shared" si="45"/>
        <v>11.612955104395844</v>
      </c>
      <c r="R198" s="101">
        <f t="shared" si="39"/>
        <v>110520.36751923154</v>
      </c>
      <c r="S198" s="101">
        <v>109754.22322624105</v>
      </c>
      <c r="T198" s="101"/>
      <c r="U198" s="104">
        <f t="shared" si="40"/>
        <v>-0.75137962157703075</v>
      </c>
      <c r="V198" s="104">
        <f t="shared" si="41"/>
        <v>-5.8570161904880624E-2</v>
      </c>
    </row>
    <row r="199" spans="1:22">
      <c r="A199" s="44" t="s">
        <v>128</v>
      </c>
      <c r="B199" s="90">
        <v>111969</v>
      </c>
      <c r="C199" s="91">
        <f t="shared" si="38"/>
        <v>1.8880080173231395E-3</v>
      </c>
      <c r="D199" s="90">
        <v>32082</v>
      </c>
      <c r="E199" s="115">
        <f t="shared" si="47"/>
        <v>-0.12730536967520811</v>
      </c>
      <c r="F199" s="44">
        <v>110203.93</v>
      </c>
      <c r="G199" s="44">
        <v>35937.540999999997</v>
      </c>
      <c r="H199" s="92">
        <v>3.9075747132301303E-2</v>
      </c>
      <c r="I199" s="101">
        <f t="shared" si="46"/>
        <v>749561.0554236694</v>
      </c>
      <c r="J199" s="94">
        <v>0.74345099999999997</v>
      </c>
      <c r="K199" s="95">
        <f t="shared" si="42"/>
        <v>7.4345100000000001E-4</v>
      </c>
      <c r="L199" s="96">
        <v>0.6</v>
      </c>
      <c r="M199" s="116">
        <f t="shared" si="43"/>
        <v>6.3770620674541743</v>
      </c>
      <c r="N199" s="116">
        <f t="shared" si="44"/>
        <v>588.19708332005473</v>
      </c>
      <c r="O199" s="116">
        <v>589.21610568822882</v>
      </c>
      <c r="P199" s="116">
        <v>0.74950666220470319</v>
      </c>
      <c r="Q199" s="116">
        <f t="shared" si="45"/>
        <v>11.616686197386143</v>
      </c>
      <c r="R199" s="101">
        <f t="shared" si="39"/>
        <v>110933.49952546466</v>
      </c>
      <c r="S199" s="101">
        <v>110298.84762176999</v>
      </c>
      <c r="T199" s="101"/>
      <c r="U199" s="104">
        <f t="shared" si="40"/>
        <v>-0.65766385139341965</v>
      </c>
      <c r="V199" s="104">
        <f t="shared" si="41"/>
        <v>-8.6054953262504341E-2</v>
      </c>
    </row>
    <row r="200" spans="1:22">
      <c r="A200" s="44" t="s">
        <v>129</v>
      </c>
      <c r="B200" s="90">
        <v>115045</v>
      </c>
      <c r="C200" s="91">
        <f t="shared" si="38"/>
        <v>3.8392740281838478E-3</v>
      </c>
      <c r="D200" s="90">
        <v>44282</v>
      </c>
      <c r="E200" s="115">
        <f t="shared" si="47"/>
        <v>-1.4619817975477845E-2</v>
      </c>
      <c r="F200" s="44">
        <v>110280.45</v>
      </c>
      <c r="G200" s="44">
        <v>36686.894999999997</v>
      </c>
      <c r="H200" s="92">
        <v>3.9075747132301331E-2</v>
      </c>
      <c r="I200" s="101">
        <f t="shared" si="46"/>
        <v>756958.29216171324</v>
      </c>
      <c r="J200" s="94">
        <v>0.74520600000000004</v>
      </c>
      <c r="K200" s="95">
        <f t="shared" si="42"/>
        <v>7.4520599999999999E-4</v>
      </c>
      <c r="L200" s="96">
        <v>0.6</v>
      </c>
      <c r="M200" s="116">
        <f t="shared" si="43"/>
        <v>6.3724133250332828</v>
      </c>
      <c r="N200" s="116">
        <f t="shared" si="44"/>
        <v>585.46905245629148</v>
      </c>
      <c r="O200" s="116">
        <v>587.33265444315953</v>
      </c>
      <c r="P200" s="116">
        <v>0.75352720047980903</v>
      </c>
      <c r="Q200" s="116">
        <f t="shared" si="45"/>
        <v>11.62062263818132</v>
      </c>
      <c r="R200" s="101">
        <f t="shared" si="39"/>
        <v>111371.04329612388</v>
      </c>
      <c r="S200" s="101">
        <v>110823.40621341935</v>
      </c>
      <c r="T200" s="101"/>
      <c r="U200" s="104">
        <f t="shared" si="40"/>
        <v>-0.97924313524128115</v>
      </c>
      <c r="V200" s="104">
        <f t="shared" si="41"/>
        <v>-0.48992918731783908</v>
      </c>
    </row>
    <row r="201" spans="1:22">
      <c r="A201" s="44" t="s">
        <v>130</v>
      </c>
      <c r="B201" s="90">
        <v>105790</v>
      </c>
      <c r="C201" s="91">
        <f t="shared" si="38"/>
        <v>6.7184347759887686E-3</v>
      </c>
      <c r="D201" s="90">
        <v>40290</v>
      </c>
      <c r="E201" s="115">
        <f t="shared" si="47"/>
        <v>-5.034648564559463E-2</v>
      </c>
      <c r="F201" s="44">
        <v>111487.41</v>
      </c>
      <c r="G201" s="44">
        <v>41040.591999999997</v>
      </c>
      <c r="H201" s="92">
        <v>3.9768289774656296E-2</v>
      </c>
      <c r="I201" s="101">
        <f t="shared" si="46"/>
        <v>767895.9474516972</v>
      </c>
      <c r="J201" s="94">
        <v>0.749892</v>
      </c>
      <c r="K201" s="95">
        <f t="shared" si="42"/>
        <v>7.4989200000000005E-4</v>
      </c>
      <c r="L201" s="96">
        <v>0.6</v>
      </c>
      <c r="M201" s="116">
        <f t="shared" si="43"/>
        <v>6.373798791256438</v>
      </c>
      <c r="N201" s="116">
        <f t="shared" si="44"/>
        <v>586.2807622215629</v>
      </c>
      <c r="O201" s="116">
        <v>585.57755093461401</v>
      </c>
      <c r="P201" s="116">
        <v>0.75730232918941631</v>
      </c>
      <c r="Q201" s="116">
        <f t="shared" si="45"/>
        <v>11.626366797573914</v>
      </c>
      <c r="R201" s="101">
        <f t="shared" si="39"/>
        <v>112012.61720786222</v>
      </c>
      <c r="S201" s="101">
        <v>111328.19458073999</v>
      </c>
      <c r="T201" s="101"/>
      <c r="U201" s="104">
        <f t="shared" si="40"/>
        <v>-0.46888218573412077</v>
      </c>
      <c r="V201" s="104">
        <f t="shared" si="41"/>
        <v>0.14301446265216899</v>
      </c>
    </row>
    <row r="202" spans="1:22">
      <c r="A202" s="44" t="s">
        <v>131</v>
      </c>
      <c r="B202" s="90">
        <v>110944</v>
      </c>
      <c r="C202" s="91">
        <f t="shared" si="38"/>
        <v>2.806838715655835E-2</v>
      </c>
      <c r="D202" s="90">
        <v>31535</v>
      </c>
      <c r="E202" s="115">
        <f t="shared" si="47"/>
        <v>-7.4079511421692446E-2</v>
      </c>
      <c r="F202" s="44">
        <v>112154.71</v>
      </c>
      <c r="G202" s="44">
        <v>34687.873</v>
      </c>
      <c r="H202" s="92">
        <v>3.9768289774656296E-2</v>
      </c>
      <c r="I202" s="101">
        <f t="shared" si="46"/>
        <v>772045.91189665382</v>
      </c>
      <c r="J202" s="94">
        <v>0.75507299999999999</v>
      </c>
      <c r="K202" s="95">
        <f t="shared" si="42"/>
        <v>7.5507299999999999E-4</v>
      </c>
      <c r="L202" s="96">
        <v>0.6</v>
      </c>
      <c r="M202" s="116">
        <f t="shared" si="43"/>
        <v>6.3734793243478558</v>
      </c>
      <c r="N202" s="116">
        <f t="shared" si="44"/>
        <v>586.09349483335427</v>
      </c>
      <c r="O202" s="116">
        <v>583.97492964664286</v>
      </c>
      <c r="P202" s="116">
        <v>0.76078097762672148</v>
      </c>
      <c r="Q202" s="116">
        <f t="shared" si="45"/>
        <v>11.628531909952628</v>
      </c>
      <c r="R202" s="101">
        <f t="shared" si="39"/>
        <v>112255.39984295417</v>
      </c>
      <c r="S202" s="101">
        <v>111813.16895564937</v>
      </c>
      <c r="T202" s="101"/>
      <c r="U202" s="104">
        <f t="shared" si="40"/>
        <v>-8.969710418833543E-2</v>
      </c>
      <c r="V202" s="104">
        <f t="shared" si="41"/>
        <v>0.30545690417387306</v>
      </c>
    </row>
    <row r="203" spans="1:22">
      <c r="A203" s="44" t="s">
        <v>132</v>
      </c>
      <c r="B203" s="90">
        <v>114985</v>
      </c>
      <c r="C203" s="91">
        <f t="shared" si="38"/>
        <v>2.6936026936027035E-2</v>
      </c>
      <c r="D203" s="90">
        <v>32266</v>
      </c>
      <c r="E203" s="115">
        <f t="shared" si="47"/>
        <v>5.735303285331339E-3</v>
      </c>
      <c r="F203" s="44">
        <v>113445.9</v>
      </c>
      <c r="G203" s="44">
        <v>36265.061000000002</v>
      </c>
      <c r="H203" s="92">
        <v>3.9768289774656296E-2</v>
      </c>
      <c r="I203" s="101">
        <f t="shared" si="46"/>
        <v>777608.02735300886</v>
      </c>
      <c r="J203" s="94">
        <v>0.75944500000000004</v>
      </c>
      <c r="K203" s="95">
        <f t="shared" si="42"/>
        <v>7.5944500000000009E-4</v>
      </c>
      <c r="L203" s="96">
        <v>0.6</v>
      </c>
      <c r="M203" s="116">
        <f t="shared" si="43"/>
        <v>6.3785906335387086</v>
      </c>
      <c r="N203" s="116">
        <f t="shared" si="44"/>
        <v>589.09686894834033</v>
      </c>
      <c r="O203" s="116">
        <v>582.54936457035114</v>
      </c>
      <c r="P203" s="116">
        <v>0.76390744362917773</v>
      </c>
      <c r="Q203" s="116">
        <f>LN(O203)+LN(P203)*L203+LN(I203)*(1-L203)</f>
        <v>11.631419883477434</v>
      </c>
      <c r="R203" s="101">
        <f t="shared" si="39"/>
        <v>112580.05904365664</v>
      </c>
      <c r="S203" s="101">
        <v>112278.38507970201</v>
      </c>
      <c r="T203" s="101"/>
      <c r="U203" s="104">
        <f t="shared" si="40"/>
        <v>0.76908909419526328</v>
      </c>
      <c r="V203" s="104">
        <f t="shared" si="41"/>
        <v>1.0398394307766345</v>
      </c>
    </row>
    <row r="204" spans="1:22">
      <c r="A204" s="44" t="s">
        <v>133</v>
      </c>
      <c r="B204" s="90">
        <v>120969</v>
      </c>
      <c r="C204" s="91">
        <f t="shared" si="38"/>
        <v>5.1492894084923302E-2</v>
      </c>
      <c r="D204" s="90">
        <v>51314</v>
      </c>
      <c r="E204" s="115">
        <f t="shared" si="47"/>
        <v>0.15880041551872082</v>
      </c>
      <c r="F204" s="44">
        <v>115267.1</v>
      </c>
      <c r="G204" s="44">
        <v>43064.82</v>
      </c>
      <c r="H204" s="92">
        <v>3.9768289774656296E-2</v>
      </c>
      <c r="I204" s="101">
        <f t="shared" si="46"/>
        <v>789748.70599013544</v>
      </c>
      <c r="J204" s="94">
        <v>0.77180599999999999</v>
      </c>
      <c r="K204" s="95">
        <f t="shared" si="42"/>
        <v>7.7180599999999999E-4</v>
      </c>
      <c r="L204" s="96">
        <v>0.6</v>
      </c>
      <c r="M204" s="116">
        <f t="shared" si="43"/>
        <v>6.3786325244161919</v>
      </c>
      <c r="N204" s="116">
        <f t="shared" si="44"/>
        <v>589.12154724999743</v>
      </c>
      <c r="O204" s="116">
        <v>581.3267538000855</v>
      </c>
      <c r="P204" s="116">
        <v>0.76662245754822167</v>
      </c>
      <c r="Q204" s="116">
        <f t="shared" ref="Q204:Q218" si="48">LN(O204)+LN(P204)*L204+LN(I204)*(1-L204)</f>
        <v>11.637644530917342</v>
      </c>
      <c r="R204" s="101">
        <f t="shared" si="39"/>
        <v>113283.01577914685</v>
      </c>
      <c r="S204" s="101">
        <v>112724.11215760518</v>
      </c>
      <c r="T204" s="101"/>
      <c r="U204" s="104">
        <f t="shared" si="40"/>
        <v>1.7514401494406417</v>
      </c>
      <c r="V204" s="104">
        <f t="shared" si="41"/>
        <v>2.2559395622822498</v>
      </c>
    </row>
    <row r="205" spans="1:22">
      <c r="A205" s="44" t="s">
        <v>134</v>
      </c>
      <c r="B205" s="90">
        <v>108747</v>
      </c>
      <c r="C205" s="91">
        <f t="shared" si="38"/>
        <v>2.7951602230834593E-2</v>
      </c>
      <c r="D205" s="90">
        <v>39839</v>
      </c>
      <c r="E205" s="115">
        <f t="shared" si="47"/>
        <v>-1.1193844626458227E-2</v>
      </c>
      <c r="F205" s="44">
        <v>116198.96</v>
      </c>
      <c r="G205" s="44">
        <v>40908.36</v>
      </c>
      <c r="H205" s="92">
        <v>4.0770553052425385E-2</v>
      </c>
      <c r="I205" s="101">
        <f t="shared" si="46"/>
        <v>798458.57447448035</v>
      </c>
      <c r="J205" s="94">
        <v>0.78941399999999995</v>
      </c>
      <c r="K205" s="95">
        <f t="shared" si="42"/>
        <v>7.89414E-4</v>
      </c>
      <c r="L205" s="96">
        <v>0.6</v>
      </c>
      <c r="M205" s="116">
        <f t="shared" si="43"/>
        <v>6.3687624553826403</v>
      </c>
      <c r="N205" s="116">
        <f t="shared" si="44"/>
        <v>583.335478331638</v>
      </c>
      <c r="O205" s="116">
        <v>580.33708762042886</v>
      </c>
      <c r="P205" s="116">
        <v>0.76886396070802154</v>
      </c>
      <c r="Q205" s="116">
        <f t="shared" si="48"/>
        <v>11.642079729148426</v>
      </c>
      <c r="R205" s="101">
        <f t="shared" si="39"/>
        <v>113786.56425355299</v>
      </c>
      <c r="S205" s="101">
        <v>113151.34909089129</v>
      </c>
      <c r="T205" s="101"/>
      <c r="U205" s="104">
        <f t="shared" si="40"/>
        <v>2.120105974086206</v>
      </c>
      <c r="V205" s="104">
        <f t="shared" si="41"/>
        <v>2.6933933475778993</v>
      </c>
    </row>
    <row r="206" spans="1:22">
      <c r="A206" s="44" t="s">
        <v>135</v>
      </c>
      <c r="B206" s="90">
        <v>117707</v>
      </c>
      <c r="C206" s="91">
        <f t="shared" si="38"/>
        <v>6.095868185751363E-2</v>
      </c>
      <c r="D206" s="90">
        <v>35780</v>
      </c>
      <c r="E206" s="115">
        <f t="shared" si="47"/>
        <v>0.13461233550023777</v>
      </c>
      <c r="F206" s="44">
        <v>117823.37</v>
      </c>
      <c r="G206" s="44">
        <v>39100.095999999998</v>
      </c>
      <c r="H206" s="92">
        <v>4.0770553052425385E-2</v>
      </c>
      <c r="I206" s="101">
        <f t="shared" si="46"/>
        <v>805005.07280370465</v>
      </c>
      <c r="J206" s="94">
        <v>0.79428299999999996</v>
      </c>
      <c r="K206" s="95">
        <f t="shared" si="42"/>
        <v>7.9428300000000001E-4</v>
      </c>
      <c r="L206" s="96">
        <v>0.6</v>
      </c>
      <c r="M206" s="116">
        <f t="shared" si="43"/>
        <v>6.3756896492590469</v>
      </c>
      <c r="N206" s="116">
        <f t="shared" si="44"/>
        <v>587.39038463118493</v>
      </c>
      <c r="O206" s="116">
        <v>579.6152280618702</v>
      </c>
      <c r="P206" s="116">
        <v>0.77057313414677775</v>
      </c>
      <c r="Q206" s="116">
        <f t="shared" si="48"/>
        <v>11.645433600130266</v>
      </c>
      <c r="R206" s="101">
        <f t="shared" si="39"/>
        <v>114168.8303868471</v>
      </c>
      <c r="S206" s="101">
        <v>113562.68414849426</v>
      </c>
      <c r="T206" s="101"/>
      <c r="U206" s="104">
        <f t="shared" si="40"/>
        <v>3.200995929247874</v>
      </c>
      <c r="V206" s="104">
        <f t="shared" si="41"/>
        <v>3.7518361629551356</v>
      </c>
    </row>
    <row r="207" spans="1:22">
      <c r="A207" s="44" t="s">
        <v>136</v>
      </c>
      <c r="B207" s="90">
        <v>119971</v>
      </c>
      <c r="C207" s="91">
        <f t="shared" si="38"/>
        <v>4.3362177675349001E-2</v>
      </c>
      <c r="D207" s="90">
        <v>38808</v>
      </c>
      <c r="E207" s="115">
        <f t="shared" si="47"/>
        <v>0.20275212297774758</v>
      </c>
      <c r="F207" s="44">
        <v>118259.05</v>
      </c>
      <c r="G207" s="44">
        <v>42821.178</v>
      </c>
      <c r="H207" s="92">
        <v>4.0770553052425385E-2</v>
      </c>
      <c r="I207" s="101">
        <f t="shared" si="46"/>
        <v>815005.74877548963</v>
      </c>
      <c r="J207" s="94">
        <v>0.79954599999999998</v>
      </c>
      <c r="K207" s="95">
        <f t="shared" si="42"/>
        <v>7.9954599999999994E-4</v>
      </c>
      <c r="L207" s="96">
        <v>0.6</v>
      </c>
      <c r="M207" s="116">
        <f t="shared" si="43"/>
        <v>6.3704793852730699</v>
      </c>
      <c r="N207" s="116">
        <f t="shared" si="44"/>
        <v>584.33788473504671</v>
      </c>
      <c r="O207" s="116">
        <v>579.19791114909299</v>
      </c>
      <c r="P207" s="116">
        <v>0.77170400267724826</v>
      </c>
      <c r="Q207" s="116">
        <f t="shared" si="48"/>
        <v>11.650531881766872</v>
      </c>
      <c r="R207" s="101">
        <f t="shared" si="39"/>
        <v>114752.38152832107</v>
      </c>
      <c r="S207" s="101">
        <v>113962.61035616616</v>
      </c>
      <c r="T207" s="101"/>
      <c r="U207" s="104">
        <f t="shared" si="40"/>
        <v>3.0558568153232546</v>
      </c>
      <c r="V207" s="104">
        <f t="shared" si="41"/>
        <v>3.7700432013677343</v>
      </c>
    </row>
    <row r="208" spans="1:22">
      <c r="A208" s="44" t="s">
        <v>137</v>
      </c>
      <c r="B208" s="90">
        <v>123964</v>
      </c>
      <c r="C208" s="91">
        <f t="shared" si="38"/>
        <v>2.4758409179211238E-2</v>
      </c>
      <c r="D208" s="90">
        <v>54499</v>
      </c>
      <c r="E208" s="115">
        <f t="shared" si="47"/>
        <v>6.2068831118213375E-2</v>
      </c>
      <c r="F208" s="44">
        <v>116837</v>
      </c>
      <c r="G208" s="44">
        <v>45810.188999999998</v>
      </c>
      <c r="H208" s="92">
        <v>4.0770553052425385E-2</v>
      </c>
      <c r="I208" s="101">
        <f t="shared" si="46"/>
        <v>827587.70265700691</v>
      </c>
      <c r="J208" s="94">
        <v>0.80736200000000002</v>
      </c>
      <c r="K208" s="95">
        <f t="shared" si="42"/>
        <v>8.0736200000000005E-4</v>
      </c>
      <c r="L208" s="96">
        <v>0.6</v>
      </c>
      <c r="M208" s="116">
        <f t="shared" si="43"/>
        <v>6.3464168155469043</v>
      </c>
      <c r="N208" s="116">
        <f t="shared" si="44"/>
        <v>570.4450328308327</v>
      </c>
      <c r="O208" s="116">
        <v>579.12673237963656</v>
      </c>
      <c r="P208" s="116">
        <v>0.7722254097783493</v>
      </c>
      <c r="Q208" s="116">
        <f t="shared" si="48"/>
        <v>11.656942207388653</v>
      </c>
      <c r="R208" s="101">
        <f t="shared" si="39"/>
        <v>115490.34442397532</v>
      </c>
      <c r="S208" s="101">
        <v>114358.28366831627</v>
      </c>
      <c r="T208" s="101"/>
      <c r="U208" s="104">
        <f t="shared" si="40"/>
        <v>1.1660330417588849</v>
      </c>
      <c r="V208" s="104">
        <f t="shared" si="41"/>
        <v>2.1675004662303099</v>
      </c>
    </row>
    <row r="209" spans="1:22">
      <c r="A209" s="44" t="s">
        <v>138</v>
      </c>
      <c r="B209" s="90">
        <v>108403</v>
      </c>
      <c r="C209" s="91">
        <f t="shared" si="38"/>
        <v>-3.1633056544088101E-3</v>
      </c>
      <c r="D209" s="90">
        <v>36340</v>
      </c>
      <c r="E209" s="115">
        <f t="shared" si="47"/>
        <v>-8.7828509751750827E-2</v>
      </c>
      <c r="F209" s="44">
        <v>116435.85</v>
      </c>
      <c r="G209" s="44">
        <v>37735.966</v>
      </c>
      <c r="H209" s="92">
        <v>4.0770553052425385E-2</v>
      </c>
      <c r="I209" s="101">
        <f t="shared" si="46"/>
        <v>831582.4603202946</v>
      </c>
      <c r="J209" s="94">
        <v>0.81110599999999999</v>
      </c>
      <c r="K209" s="95">
        <f t="shared" si="42"/>
        <v>8.1110600000000002E-4</v>
      </c>
      <c r="L209" s="96">
        <v>0.6</v>
      </c>
      <c r="M209" s="116">
        <f t="shared" si="43"/>
        <v>6.3382753775910103</v>
      </c>
      <c r="N209" s="116">
        <f t="shared" si="44"/>
        <v>565.81964419478959</v>
      </c>
      <c r="O209" s="116">
        <v>579.44649973453147</v>
      </c>
      <c r="P209" s="116">
        <v>0.77212360017732384</v>
      </c>
      <c r="Q209" s="116">
        <f t="shared" si="48"/>
        <v>11.659341251646936</v>
      </c>
      <c r="R209" s="101">
        <f t="shared" si="39"/>
        <v>115767.74348491945</v>
      </c>
      <c r="S209" s="101">
        <v>114759.5453141313</v>
      </c>
      <c r="T209" s="101"/>
      <c r="U209" s="104">
        <f t="shared" si="40"/>
        <v>0.57710938726864836</v>
      </c>
      <c r="V209" s="104">
        <f t="shared" si="41"/>
        <v>1.4607104631515933</v>
      </c>
    </row>
    <row r="210" spans="1:22">
      <c r="A210" s="44" t="s">
        <v>139</v>
      </c>
      <c r="B210" s="90">
        <v>99561</v>
      </c>
      <c r="C210" s="91">
        <f t="shared" si="38"/>
        <v>-0.15416245422957009</v>
      </c>
      <c r="D210" s="90">
        <v>21170</v>
      </c>
      <c r="E210" s="115">
        <f t="shared" si="47"/>
        <v>-0.40832867523756289</v>
      </c>
      <c r="F210" s="44">
        <v>100451.96</v>
      </c>
      <c r="G210" s="44">
        <v>24488.807000000001</v>
      </c>
      <c r="H210" s="92">
        <v>4.0770553052425385E-2</v>
      </c>
      <c r="I210" s="101">
        <f t="shared" si="46"/>
        <v>822167.19050433964</v>
      </c>
      <c r="J210" s="94">
        <v>0.79341600000000001</v>
      </c>
      <c r="K210" s="95">
        <f t="shared" si="42"/>
        <v>7.9341600000000002E-4</v>
      </c>
      <c r="L210" s="96">
        <v>0.6</v>
      </c>
      <c r="M210" s="116">
        <f t="shared" si="43"/>
        <v>6.2083998258352295</v>
      </c>
      <c r="N210" s="116">
        <f t="shared" si="44"/>
        <v>496.90547945928535</v>
      </c>
      <c r="O210" s="116">
        <v>580.19659513259035</v>
      </c>
      <c r="P210" s="116">
        <v>0.77140677897030341</v>
      </c>
      <c r="Q210" s="116">
        <f t="shared" si="48"/>
        <v>11.655522955264619</v>
      </c>
      <c r="R210" s="101">
        <f t="shared" si="39"/>
        <v>115326.55076708771</v>
      </c>
      <c r="S210" s="101">
        <v>115177.78572050523</v>
      </c>
      <c r="T210" s="101"/>
      <c r="U210" s="104">
        <f t="shared" si="40"/>
        <v>-12.897802516549961</v>
      </c>
      <c r="V210" s="104">
        <f t="shared" si="41"/>
        <v>-12.785300245517362</v>
      </c>
    </row>
    <row r="211" spans="1:22">
      <c r="A211" s="44" t="s">
        <v>140</v>
      </c>
      <c r="B211" s="90">
        <v>114754</v>
      </c>
      <c r="C211" s="91">
        <f t="shared" si="38"/>
        <v>-4.3485508998007849E-2</v>
      </c>
      <c r="D211" s="90">
        <v>38081</v>
      </c>
      <c r="E211" s="115">
        <f t="shared" si="47"/>
        <v>-1.8733250876107999E-2</v>
      </c>
      <c r="F211" s="44">
        <v>114996.57</v>
      </c>
      <c r="G211" s="44">
        <v>42150.288999999997</v>
      </c>
      <c r="H211" s="92">
        <v>4.0770553052425385E-2</v>
      </c>
      <c r="I211" s="101">
        <f t="shared" si="46"/>
        <v>830797.26844591892</v>
      </c>
      <c r="J211" s="94">
        <v>0.78556099999999995</v>
      </c>
      <c r="K211" s="95">
        <f t="shared" si="42"/>
        <v>7.8556099999999994E-4</v>
      </c>
      <c r="L211" s="96">
        <v>0.6</v>
      </c>
      <c r="M211" s="116">
        <f t="shared" si="43"/>
        <v>6.345415447621356</v>
      </c>
      <c r="N211" s="116">
        <f t="shared" si="44"/>
        <v>569.87409337960298</v>
      </c>
      <c r="O211" s="116">
        <v>581.40788370791347</v>
      </c>
      <c r="P211" s="116">
        <v>0.77010751525330878</v>
      </c>
      <c r="Q211" s="116">
        <f t="shared" si="48"/>
        <v>11.660773894939837</v>
      </c>
      <c r="R211" s="101">
        <f t="shared" si="39"/>
        <v>115933.71622763795</v>
      </c>
      <c r="S211" s="101">
        <v>115625.44300476073</v>
      </c>
      <c r="T211" s="101"/>
      <c r="U211" s="104">
        <f t="shared" si="40"/>
        <v>-0.80834657779609298</v>
      </c>
      <c r="V211" s="104">
        <f t="shared" si="41"/>
        <v>-0.5438880824308101</v>
      </c>
    </row>
    <row r="212" spans="1:22">
      <c r="A212" s="44" t="s">
        <v>141</v>
      </c>
      <c r="B212" s="90">
        <v>125618</v>
      </c>
      <c r="C212" s="91">
        <f t="shared" si="38"/>
        <v>1.334258333064442E-2</v>
      </c>
      <c r="D212" s="90">
        <v>47812</v>
      </c>
      <c r="E212" s="115">
        <f t="shared" si="47"/>
        <v>-0.12269949907337752</v>
      </c>
      <c r="F212" s="44">
        <v>116182.87</v>
      </c>
      <c r="G212" s="44">
        <v>38922.67</v>
      </c>
      <c r="H212" s="92">
        <v>4.0770553052425385E-2</v>
      </c>
      <c r="I212" s="101">
        <f t="shared" si="46"/>
        <v>835847.87433693453</v>
      </c>
      <c r="J212" s="94">
        <v>0.78955200000000003</v>
      </c>
      <c r="K212" s="95">
        <f t="shared" si="42"/>
        <v>7.8955200000000001E-4</v>
      </c>
      <c r="L212" s="96">
        <v>0.6</v>
      </c>
      <c r="M212" s="116">
        <f t="shared" si="43"/>
        <v>6.3502136812741083</v>
      </c>
      <c r="N212" s="116">
        <f t="shared" si="44"/>
        <v>572.61505305600076</v>
      </c>
      <c r="O212" s="116">
        <v>583.05917364730544</v>
      </c>
      <c r="P212" s="116">
        <v>0.76827213388550442</v>
      </c>
      <c r="Q212" s="116">
        <f t="shared" si="48"/>
        <v>11.664602681981101</v>
      </c>
      <c r="R212" s="101">
        <f t="shared" si="39"/>
        <v>116378.45259509119</v>
      </c>
      <c r="S212" s="101">
        <v>116105.75164314518</v>
      </c>
      <c r="T212" s="101"/>
      <c r="U212" s="104">
        <f t="shared" si="40"/>
        <v>-0.16805739441447809</v>
      </c>
      <c r="V212" s="104">
        <f t="shared" si="41"/>
        <v>6.6420789464283203E-2</v>
      </c>
    </row>
    <row r="213" spans="1:22">
      <c r="A213" s="44" t="s">
        <v>142</v>
      </c>
      <c r="B213" s="90">
        <v>108463</v>
      </c>
      <c r="C213" s="91">
        <f t="shared" si="38"/>
        <v>5.5349021706030399E-4</v>
      </c>
      <c r="D213" s="90">
        <v>30713</v>
      </c>
      <c r="E213" s="115">
        <f t="shared" si="47"/>
        <v>-0.15484314804623001</v>
      </c>
      <c r="F213" s="44">
        <v>115884.3</v>
      </c>
      <c r="G213" s="44">
        <v>32195.686000000002</v>
      </c>
      <c r="H213" s="92">
        <v>4.0770553052425385E-2</v>
      </c>
      <c r="I213" s="101">
        <f t="shared" si="46"/>
        <v>833965.5802325235</v>
      </c>
      <c r="J213" s="94">
        <v>0.79312099999999996</v>
      </c>
      <c r="K213" s="95">
        <f t="shared" si="42"/>
        <v>7.9312099999999993E-4</v>
      </c>
      <c r="L213" s="96">
        <v>0.6</v>
      </c>
      <c r="M213" s="116">
        <f t="shared" si="43"/>
        <v>6.3458362849537835</v>
      </c>
      <c r="N213" s="116">
        <f t="shared" si="44"/>
        <v>570.11396814346801</v>
      </c>
      <c r="O213" s="116">
        <v>585.1220645186155</v>
      </c>
      <c r="P213" s="116">
        <v>0.76595661815402127</v>
      </c>
      <c r="Q213" s="116">
        <f t="shared" si="48"/>
        <v>11.665421599611253</v>
      </c>
      <c r="R213" s="101">
        <f t="shared" si="39"/>
        <v>116473.7959955586</v>
      </c>
      <c r="S213" s="101">
        <v>116621.55306627795</v>
      </c>
      <c r="T213" s="101"/>
      <c r="U213" s="104">
        <f t="shared" si="40"/>
        <v>-0.5061189862662907</v>
      </c>
      <c r="V213" s="104">
        <f t="shared" si="41"/>
        <v>-0.63217565440837342</v>
      </c>
    </row>
    <row r="214" spans="1:22">
      <c r="A214" s="44" t="s">
        <v>143</v>
      </c>
      <c r="B214" s="90">
        <v>114017</v>
      </c>
      <c r="C214" s="91">
        <f t="shared" si="38"/>
        <v>0.14519741665913366</v>
      </c>
      <c r="D214" s="90">
        <v>28619</v>
      </c>
      <c r="E214" s="115">
        <f t="shared" si="47"/>
        <v>0.35186584789796882</v>
      </c>
      <c r="F214" s="44">
        <v>115734.57</v>
      </c>
      <c r="G214" s="44">
        <v>31857.198</v>
      </c>
      <c r="H214" s="92">
        <v>4.0770553052425385E-2</v>
      </c>
      <c r="I214" s="101">
        <f t="shared" si="46"/>
        <v>831821.54029975669</v>
      </c>
      <c r="J214" s="94">
        <v>0.79527099999999995</v>
      </c>
      <c r="K214" s="95">
        <f t="shared" si="42"/>
        <v>7.9527099999999996E-4</v>
      </c>
      <c r="L214" s="96">
        <v>0.6</v>
      </c>
      <c r="M214" s="116">
        <f t="shared" si="43"/>
        <v>6.3439487828881296</v>
      </c>
      <c r="N214" s="116">
        <f t="shared" si="44"/>
        <v>569.03889177455062</v>
      </c>
      <c r="O214" s="116">
        <v>587.56162831432323</v>
      </c>
      <c r="P214" s="116">
        <v>0.76323025126231181</v>
      </c>
      <c r="Q214" s="116">
        <f t="shared" si="48"/>
        <v>11.666413107219565</v>
      </c>
      <c r="R214" s="101">
        <f t="shared" si="39"/>
        <v>116589.33792134075</v>
      </c>
      <c r="S214" s="101">
        <v>117175.73690375144</v>
      </c>
      <c r="T214" s="101"/>
      <c r="U214" s="104">
        <f t="shared" si="40"/>
        <v>-0.73314415930333388</v>
      </c>
      <c r="V214" s="104">
        <f t="shared" si="41"/>
        <v>-1.2299192152170679</v>
      </c>
    </row>
    <row r="215" spans="1:22">
      <c r="A215" s="44" t="s">
        <v>144</v>
      </c>
      <c r="B215" s="90">
        <v>116382</v>
      </c>
      <c r="C215" s="91">
        <f t="shared" si="38"/>
        <v>1.4186869303030925E-2</v>
      </c>
      <c r="D215" s="90">
        <v>33793</v>
      </c>
      <c r="E215" s="115">
        <f t="shared" si="47"/>
        <v>-0.11260208502927971</v>
      </c>
      <c r="F215" s="44">
        <v>117028.59</v>
      </c>
      <c r="G215" s="44">
        <v>38126.949999999997</v>
      </c>
      <c r="H215" s="92">
        <v>4.0770553052425385E-2</v>
      </c>
      <c r="I215" s="101">
        <f t="shared" si="46"/>
        <v>836034.66606081522</v>
      </c>
      <c r="J215" s="94">
        <v>0.79668099999999997</v>
      </c>
      <c r="K215" s="95">
        <f t="shared" si="42"/>
        <v>7.9668099999999993E-4</v>
      </c>
      <c r="L215" s="96">
        <v>0.6</v>
      </c>
      <c r="M215" s="116">
        <f t="shared" si="43"/>
        <v>6.3519839585414859</v>
      </c>
      <c r="N215" s="116">
        <f t="shared" si="44"/>
        <v>573.62963825097142</v>
      </c>
      <c r="O215" s="116">
        <v>590.33355696667365</v>
      </c>
      <c r="P215" s="116">
        <v>0.76017929415248209</v>
      </c>
      <c r="Q215" s="116">
        <f t="shared" si="48"/>
        <v>11.670737294955158</v>
      </c>
      <c r="R215" s="101">
        <f t="shared" si="39"/>
        <v>117094.58370801606</v>
      </c>
      <c r="S215" s="101">
        <v>117770.73200199161</v>
      </c>
      <c r="T215" s="101"/>
      <c r="U215" s="104">
        <f t="shared" si="40"/>
        <v>-5.6359317336673875E-2</v>
      </c>
      <c r="V215" s="104">
        <f t="shared" si="41"/>
        <v>-0.63015826545007592</v>
      </c>
    </row>
    <row r="216" spans="1:22">
      <c r="A216" s="44" t="s">
        <v>145</v>
      </c>
      <c r="B216" s="90">
        <v>127100</v>
      </c>
      <c r="C216" s="91">
        <f t="shared" si="38"/>
        <v>1.1797672308108798E-2</v>
      </c>
      <c r="D216" s="90">
        <v>52663</v>
      </c>
      <c r="E216" s="115">
        <f t="shared" si="47"/>
        <v>0.1014598845478123</v>
      </c>
      <c r="F216" s="44">
        <v>117785.32</v>
      </c>
      <c r="G216" s="44">
        <v>43748.375999999997</v>
      </c>
      <c r="H216" s="92">
        <v>4.0770553052425385E-2</v>
      </c>
      <c r="I216" s="101">
        <f t="shared" si="46"/>
        <v>845697.44635451608</v>
      </c>
      <c r="J216" s="94">
        <v>0.79527599999999998</v>
      </c>
      <c r="K216" s="95">
        <f t="shared" si="42"/>
        <v>7.9527600000000003E-4</v>
      </c>
      <c r="L216" s="96">
        <v>0.6</v>
      </c>
      <c r="M216" s="116">
        <f>LN(F216)-L216*LN(J216)-(1-L216)*LN(I216)</f>
        <v>6.354891778816536</v>
      </c>
      <c r="N216" s="116">
        <f t="shared" si="44"/>
        <v>575.30007763518017</v>
      </c>
      <c r="O216" s="116">
        <v>593.3819656975744</v>
      </c>
      <c r="P216" s="116">
        <v>0.75691003323459916</v>
      </c>
      <c r="Q216" s="116">
        <f t="shared" si="48"/>
        <v>11.677898566961865</v>
      </c>
      <c r="R216" s="101">
        <f t="shared" si="39"/>
        <v>117936.1395812063</v>
      </c>
      <c r="S216" s="101">
        <v>118408.06647810953</v>
      </c>
      <c r="T216" s="101"/>
      <c r="U216" s="104">
        <f t="shared" si="40"/>
        <v>-0.12788241309394932</v>
      </c>
      <c r="V216" s="104">
        <f t="shared" si="41"/>
        <v>-0.52593247794029407</v>
      </c>
    </row>
    <row r="217" spans="1:22">
      <c r="A217" s="44" t="s">
        <v>146</v>
      </c>
      <c r="B217" s="90">
        <v>110891</v>
      </c>
      <c r="C217" s="91">
        <f t="shared" si="38"/>
        <v>2.2385513954067182E-2</v>
      </c>
      <c r="D217" s="90">
        <v>40484</v>
      </c>
      <c r="E217" s="115">
        <f t="shared" si="47"/>
        <v>0.31813889883762569</v>
      </c>
      <c r="F217" s="44">
        <v>118165.3</v>
      </c>
      <c r="G217" s="92">
        <v>41833.752999999997</v>
      </c>
      <c r="H217" s="92">
        <v>4.0770553052425385E-2</v>
      </c>
      <c r="I217" s="101">
        <f t="shared" si="46"/>
        <v>853051.64675161859</v>
      </c>
      <c r="J217" s="94">
        <v>0.69184199999999996</v>
      </c>
      <c r="K217" s="95">
        <f t="shared" si="42"/>
        <v>6.9184199999999991E-4</v>
      </c>
      <c r="L217" s="96">
        <v>0.6</v>
      </c>
      <c r="M217" s="116">
        <f t="shared" si="43"/>
        <v>6.4382482257825409</v>
      </c>
      <c r="N217" s="116">
        <f t="shared" si="44"/>
        <v>625.31043710027188</v>
      </c>
      <c r="O217" s="116">
        <v>596.64052977973574</v>
      </c>
      <c r="P217" s="116">
        <v>0.75355156848488469</v>
      </c>
      <c r="Q217" s="116">
        <f t="shared" si="48"/>
        <v>11.684170258305871</v>
      </c>
      <c r="R217" s="101">
        <f t="shared" si="39"/>
        <v>118678.12296022782</v>
      </c>
      <c r="S217" s="101">
        <v>119088.80461046504</v>
      </c>
      <c r="T217" s="101"/>
      <c r="U217" s="104">
        <f t="shared" si="40"/>
        <v>-0.43211246305241424</v>
      </c>
      <c r="V217" s="104">
        <f t="shared" si="41"/>
        <v>-0.77547559024191415</v>
      </c>
    </row>
    <row r="218" spans="1:22">
      <c r="A218" s="44" t="s">
        <v>147</v>
      </c>
      <c r="B218" s="90">
        <v>118565</v>
      </c>
      <c r="C218" s="91">
        <f t="shared" si="38"/>
        <v>3.9888788513993578E-2</v>
      </c>
      <c r="D218" s="90">
        <v>40502</v>
      </c>
      <c r="E218" s="115">
        <f t="shared" si="47"/>
        <v>0.41521366924071423</v>
      </c>
      <c r="F218" s="44">
        <v>119194.94</v>
      </c>
      <c r="G218" s="92">
        <v>43429.82</v>
      </c>
      <c r="H218" s="92">
        <v>4.0770553052425385E-2</v>
      </c>
      <c r="I218" s="101">
        <f t="shared" si="46"/>
        <v>861702.07933127286</v>
      </c>
      <c r="J218" s="94">
        <v>0.69317700000000004</v>
      </c>
      <c r="K218" s="95">
        <f t="shared" si="42"/>
        <v>6.9317700000000001E-4</v>
      </c>
      <c r="L218" s="96">
        <v>0.6</v>
      </c>
      <c r="M218" s="116">
        <f t="shared" si="43"/>
        <v>6.4417315740243737</v>
      </c>
      <c r="N218" s="116">
        <f t="shared" si="44"/>
        <v>627.49240918998078</v>
      </c>
      <c r="O218" s="116">
        <v>600.03162330582916</v>
      </c>
      <c r="P218" s="116">
        <v>0.75025697860878893</v>
      </c>
      <c r="Q218" s="116">
        <f t="shared" si="48"/>
        <v>11.691244613253517</v>
      </c>
      <c r="R218" s="101">
        <f t="shared" si="39"/>
        <v>119520.67085412169</v>
      </c>
      <c r="S218" s="101">
        <v>119813.62146086921</v>
      </c>
      <c r="T218" s="101"/>
      <c r="U218" s="104">
        <f t="shared" si="40"/>
        <v>-0.2725309787787733</v>
      </c>
      <c r="V218" s="104">
        <f t="shared" si="41"/>
        <v>-0.51636988626645453</v>
      </c>
    </row>
    <row r="219" spans="1:22">
      <c r="A219" s="44" t="s">
        <v>148</v>
      </c>
      <c r="B219" s="90">
        <v>118656</v>
      </c>
      <c r="C219" s="91">
        <f t="shared" si="38"/>
        <v>1.953910398515224E-2</v>
      </c>
      <c r="D219" s="90">
        <v>36819</v>
      </c>
      <c r="E219" s="115">
        <f t="shared" si="47"/>
        <v>8.9545172077057478E-2</v>
      </c>
      <c r="F219" s="44">
        <v>119505.64</v>
      </c>
      <c r="G219" s="92">
        <v>41460.498</v>
      </c>
      <c r="H219" s="92">
        <v>4.0770553052425385E-2</v>
      </c>
      <c r="I219" s="101">
        <f t="shared" si="46"/>
        <v>868030.5069905119</v>
      </c>
      <c r="J219" s="94">
        <v>0.69306199999999996</v>
      </c>
      <c r="K219" s="95">
        <f t="shared" si="42"/>
        <v>6.9306199999999993E-4</v>
      </c>
      <c r="L219" s="96">
        <v>0.6</v>
      </c>
      <c r="M219" s="116">
        <f t="shared" si="43"/>
        <v>6.4415074807845452</v>
      </c>
      <c r="N219" s="116">
        <f t="shared" si="44"/>
        <v>627.35180813749867</v>
      </c>
      <c r="O219" s="116">
        <v>603.49553906060146</v>
      </c>
      <c r="P219" s="116">
        <v>0.74714077383145905</v>
      </c>
      <c r="Q219" s="116">
        <f>LN(O219)+LN(P219)*L219+LN(I219)*(1-L219)</f>
        <v>11.697430508848949</v>
      </c>
      <c r="R219" s="101">
        <f t="shared" si="39"/>
        <v>120262.30471543717</v>
      </c>
      <c r="S219" s="101">
        <v>120582.61490075155</v>
      </c>
      <c r="T219" s="101"/>
      <c r="U219" s="104">
        <f t="shared" si="40"/>
        <v>-0.62917862519563661</v>
      </c>
      <c r="V219" s="104">
        <f t="shared" si="41"/>
        <v>-0.89314276493173139</v>
      </c>
    </row>
    <row r="220" spans="1:22">
      <c r="A220" s="44" t="s">
        <v>149</v>
      </c>
      <c r="B220" s="90">
        <v>127853</v>
      </c>
      <c r="C220" s="91">
        <f t="shared" si="38"/>
        <v>5.9244689221085167E-3</v>
      </c>
      <c r="D220" s="90">
        <v>49890</v>
      </c>
      <c r="E220" s="115">
        <f t="shared" si="47"/>
        <v>-5.2655564627917095E-2</v>
      </c>
      <c r="F220" s="44">
        <v>120015.12</v>
      </c>
      <c r="G220" s="97">
        <v>41173.264999999999</v>
      </c>
      <c r="H220" s="92">
        <v>4.0770553052425385E-2</v>
      </c>
      <c r="I220" s="101">
        <f t="shared" si="46"/>
        <v>873813.68815413152</v>
      </c>
      <c r="J220" s="94">
        <v>0.69005300000000003</v>
      </c>
      <c r="K220" s="95">
        <f t="shared" si="42"/>
        <v>6.9005300000000004E-4</v>
      </c>
      <c r="L220" s="96">
        <v>0.6</v>
      </c>
      <c r="M220" s="116">
        <f t="shared" si="43"/>
        <v>6.4457161532887222</v>
      </c>
      <c r="N220" s="116">
        <f t="shared" si="44"/>
        <v>629.99769036321425</v>
      </c>
      <c r="O220" s="116">
        <v>606.98973281997689</v>
      </c>
      <c r="P220" s="116">
        <v>0.74428178939141176</v>
      </c>
      <c r="Q220" s="116">
        <f>LN(O220)+LN(P220)*L220+LN(I220)*(1-L220)</f>
        <v>11.703559520468458</v>
      </c>
      <c r="R220" s="101">
        <f t="shared" si="39"/>
        <v>121001.65721398764</v>
      </c>
      <c r="S220" s="101">
        <v>121395.49612562852</v>
      </c>
      <c r="T220" s="101"/>
      <c r="U220" s="104">
        <f t="shared" si="40"/>
        <v>-0.8153088451036461</v>
      </c>
      <c r="V220" s="104">
        <f t="shared" si="41"/>
        <v>-1.1370900648571158</v>
      </c>
    </row>
    <row r="221" spans="1:22">
      <c r="A221" s="199" t="s">
        <v>245</v>
      </c>
      <c r="B221" s="200">
        <v>114106.83900000001</v>
      </c>
      <c r="C221" s="201">
        <v>2.9000000000000001E-2</v>
      </c>
      <c r="D221" s="200">
        <v>42548.684000000001</v>
      </c>
      <c r="E221" s="201">
        <v>5.0999999999999997E-2</v>
      </c>
      <c r="F221" s="200">
        <v>121081.24</v>
      </c>
      <c r="G221" s="200">
        <v>43757.19</v>
      </c>
      <c r="H221" s="202">
        <v>4.0770553052425385E-2</v>
      </c>
      <c r="I221" s="223">
        <f t="shared" si="46"/>
        <v>881945.01082330802</v>
      </c>
      <c r="J221" s="204">
        <v>0.71323364299999992</v>
      </c>
      <c r="K221" s="201"/>
      <c r="L221" s="200">
        <v>0.6</v>
      </c>
      <c r="M221" s="200">
        <f>LN(F221)-L221*LN(J221)-(1-L221)*LN(I221)</f>
        <v>6.4310307427527285</v>
      </c>
      <c r="N221" s="202">
        <f>EXP(M221)</f>
        <v>620.81351737417538</v>
      </c>
      <c r="O221" s="203">
        <v>610.48657052805288</v>
      </c>
      <c r="P221" s="204">
        <v>0.74172506129351912</v>
      </c>
      <c r="Q221" s="116">
        <f>LN(O221)+LN(P221)*L221+LN(I221)*(1-L221)</f>
        <v>11.7109443055352</v>
      </c>
      <c r="R221" s="200">
        <f t="shared" si="39"/>
        <v>121898.53599781689</v>
      </c>
      <c r="S221" s="200">
        <v>122251.30322170361</v>
      </c>
      <c r="T221" s="202"/>
      <c r="U221" s="203">
        <f t="shared" ref="U221:U232" si="49">(F221/R221-1)*100</f>
        <v>-0.67047236550200617</v>
      </c>
      <c r="V221" s="204">
        <f t="shared" ref="V221:V232" si="50">(F221/S221-1)*100</f>
        <v>-0.95709672688043534</v>
      </c>
    </row>
    <row r="222" spans="1:22">
      <c r="A222" s="199" t="s">
        <v>246</v>
      </c>
      <c r="B222" s="200">
        <v>122003.38499999999</v>
      </c>
      <c r="C222" s="205">
        <v>2.8999999999999915E-2</v>
      </c>
      <c r="D222" s="200">
        <v>42567.601999999999</v>
      </c>
      <c r="E222" s="205">
        <v>5.0999999999999934E-2</v>
      </c>
      <c r="F222" s="200">
        <v>122006.53</v>
      </c>
      <c r="G222" s="200">
        <v>45214.550999999999</v>
      </c>
      <c r="H222" s="202">
        <v>4.0770553052425385E-2</v>
      </c>
      <c r="I222" s="223">
        <f t="shared" si="46"/>
        <v>891202.17597021442</v>
      </c>
      <c r="J222" s="204">
        <v>0.71528724293300006</v>
      </c>
      <c r="K222" s="201"/>
      <c r="L222" s="200">
        <v>0.6</v>
      </c>
      <c r="M222" s="200">
        <f t="shared" si="43"/>
        <v>6.4327418581223128</v>
      </c>
      <c r="N222" s="202">
        <f t="shared" ref="N222:N232" si="51">EXP(M222)</f>
        <v>621.876710288857</v>
      </c>
      <c r="O222" s="203">
        <v>613.97279810239138</v>
      </c>
      <c r="P222" s="204">
        <v>0.7394817325492834</v>
      </c>
      <c r="Q222" s="116">
        <f t="shared" ref="Q222:Q232" si="52">LN(O222)+LN(P222)*L222+LN(I222)*(1-L222)</f>
        <v>11.718997840566232</v>
      </c>
      <c r="R222" s="200">
        <f t="shared" si="39"/>
        <v>122884.21389591137</v>
      </c>
      <c r="S222" s="200">
        <v>123148.21154010179</v>
      </c>
      <c r="T222" s="202"/>
      <c r="U222" s="203">
        <f t="shared" si="49"/>
        <v>-0.71423648985117216</v>
      </c>
      <c r="V222" s="204">
        <f t="shared" si="50"/>
        <v>-0.92707926962465326</v>
      </c>
    </row>
    <row r="223" spans="1:22">
      <c r="A223" s="199" t="s">
        <v>247</v>
      </c>
      <c r="B223" s="200">
        <v>122097.024</v>
      </c>
      <c r="C223" s="205">
        <v>2.9000000000000137E-2</v>
      </c>
      <c r="D223" s="200">
        <v>38696.769</v>
      </c>
      <c r="E223" s="205">
        <v>5.0999999999999934E-2</v>
      </c>
      <c r="F223" s="200">
        <v>123059.84</v>
      </c>
      <c r="G223" s="200">
        <v>43567.118000000002</v>
      </c>
      <c r="H223" s="202">
        <v>4.0770553052425385E-2</v>
      </c>
      <c r="I223" s="223">
        <f t="shared" si="46"/>
        <v>898434.48837438389</v>
      </c>
      <c r="J223" s="204">
        <v>0.71523590453092301</v>
      </c>
      <c r="K223" s="201"/>
      <c r="L223" s="200">
        <v>0.6</v>
      </c>
      <c r="M223" s="200">
        <f t="shared" si="43"/>
        <v>6.4381481045610194</v>
      </c>
      <c r="N223" s="202">
        <f t="shared" si="51"/>
        <v>625.24783338951158</v>
      </c>
      <c r="O223" s="203">
        <v>617.44161580233288</v>
      </c>
      <c r="P223" s="204">
        <v>0.73754513903377328</v>
      </c>
      <c r="Q223" s="116">
        <f t="shared" si="52"/>
        <v>11.726291350553947</v>
      </c>
      <c r="R223" s="200">
        <f t="shared" si="39"/>
        <v>123783.74752848475</v>
      </c>
      <c r="S223" s="200">
        <v>124083.66514243445</v>
      </c>
      <c r="T223" s="202"/>
      <c r="U223" s="203">
        <f t="shared" si="49"/>
        <v>-0.58481629691988779</v>
      </c>
      <c r="V223" s="204">
        <f t="shared" si="50"/>
        <v>-0.82510872100627353</v>
      </c>
    </row>
    <row r="224" spans="1:22">
      <c r="A224" s="199" t="s">
        <v>248</v>
      </c>
      <c r="B224" s="200">
        <v>131560.73699999999</v>
      </c>
      <c r="C224" s="205">
        <v>2.8999999999999915E-2</v>
      </c>
      <c r="D224" s="200">
        <v>52434.39</v>
      </c>
      <c r="E224" s="205">
        <v>5.0999999999999934E-2</v>
      </c>
      <c r="F224" s="200">
        <v>124203.56</v>
      </c>
      <c r="G224" s="200">
        <v>43839.449000000001</v>
      </c>
      <c r="H224" s="202">
        <v>4.0770553052425385E-2</v>
      </c>
      <c r="I224" s="223">
        <f t="shared" si="46"/>
        <v>905644.26640198741</v>
      </c>
      <c r="J224" s="204">
        <v>0.71222531304045866</v>
      </c>
      <c r="K224" s="201"/>
      <c r="L224" s="200">
        <v>0.6</v>
      </c>
      <c r="M224" s="200">
        <f t="shared" si="43"/>
        <v>6.4467329451629114</v>
      </c>
      <c r="N224" s="202">
        <f t="shared" si="51"/>
        <v>630.63859267244641</v>
      </c>
      <c r="O224" s="203">
        <v>620.89116383233454</v>
      </c>
      <c r="P224" s="204">
        <v>0.7358934950660474</v>
      </c>
      <c r="Q224" s="116">
        <f t="shared" si="52"/>
        <v>11.733714626327668</v>
      </c>
      <c r="R224" s="200">
        <f t="shared" si="39"/>
        <v>124706.04743067751</v>
      </c>
      <c r="S224" s="200">
        <v>125054.39453935038</v>
      </c>
      <c r="T224" s="202"/>
      <c r="U224" s="203">
        <f t="shared" si="49"/>
        <v>-0.4029375006507574</v>
      </c>
      <c r="V224" s="204">
        <f t="shared" si="50"/>
        <v>-0.68037156349803896</v>
      </c>
    </row>
    <row r="225" spans="1:22">
      <c r="A225" s="199" t="s">
        <v>249</v>
      </c>
      <c r="B225" s="200">
        <v>118785.21939900001</v>
      </c>
      <c r="C225" s="201">
        <v>4.1000000000000002E-2</v>
      </c>
      <c r="D225" s="200">
        <v>45867.481352000003</v>
      </c>
      <c r="E225" s="201">
        <v>7.8E-2</v>
      </c>
      <c r="F225" s="200">
        <v>125504.29</v>
      </c>
      <c r="G225" s="200">
        <v>46979.576999999997</v>
      </c>
      <c r="H225" s="202">
        <v>4.0770553052425385E-2</v>
      </c>
      <c r="I225" s="223">
        <f t="shared" si="46"/>
        <v>915700.22579202033</v>
      </c>
      <c r="J225" s="204">
        <v>0.74033652143399986</v>
      </c>
      <c r="K225" s="201"/>
      <c r="L225" s="200">
        <v>0.6</v>
      </c>
      <c r="M225" s="200">
        <f t="shared" si="43"/>
        <v>6.4295077524433522</v>
      </c>
      <c r="N225" s="202">
        <f t="shared" si="51"/>
        <v>619.86874402622823</v>
      </c>
      <c r="O225" s="203">
        <v>624.32446128284562</v>
      </c>
      <c r="P225" s="204">
        <v>0.73449107169360006</v>
      </c>
      <c r="Q225" s="116">
        <f t="shared" si="52"/>
        <v>11.742501470066065</v>
      </c>
      <c r="R225" s="200">
        <f t="shared" si="39"/>
        <v>125806.6483053219</v>
      </c>
      <c r="S225" s="200">
        <v>126056.49035078441</v>
      </c>
      <c r="T225" s="202"/>
      <c r="U225" s="203">
        <f t="shared" si="49"/>
        <v>-0.24033571309213242</v>
      </c>
      <c r="V225" s="204">
        <f t="shared" si="50"/>
        <v>-0.43805784949888515</v>
      </c>
    </row>
    <row r="226" spans="1:22">
      <c r="A226" s="199" t="s">
        <v>250</v>
      </c>
      <c r="B226" s="200">
        <v>127005.523785</v>
      </c>
      <c r="C226" s="205">
        <v>4.0999999999999925E-2</v>
      </c>
      <c r="D226" s="200">
        <v>45887.874956</v>
      </c>
      <c r="E226" s="205">
        <v>7.8000000000000069E-2</v>
      </c>
      <c r="F226" s="200">
        <v>126830.78</v>
      </c>
      <c r="G226" s="200">
        <v>48358.239000000001</v>
      </c>
      <c r="H226" s="202">
        <v>4.0770553052425385E-2</v>
      </c>
      <c r="I226" s="223">
        <f t="shared" si="46"/>
        <v>926724.86015624879</v>
      </c>
      <c r="J226" s="204">
        <v>0.74246815816445411</v>
      </c>
      <c r="K226" s="201"/>
      <c r="L226" s="200">
        <v>0.6</v>
      </c>
      <c r="M226" s="200">
        <f t="shared" si="43"/>
        <v>6.433509414815509</v>
      </c>
      <c r="N226" s="202">
        <f t="shared" si="51"/>
        <v>622.35421915430152</v>
      </c>
      <c r="O226" s="203">
        <v>627.75061938734041</v>
      </c>
      <c r="P226" s="204">
        <v>0.73328734735015977</v>
      </c>
      <c r="Q226" s="116">
        <f t="shared" si="52"/>
        <v>11.751777199160884</v>
      </c>
      <c r="R226" s="200">
        <f t="shared" si="39"/>
        <v>126979.02561463804</v>
      </c>
      <c r="S226" s="200">
        <v>127085.51142508427</v>
      </c>
      <c r="T226" s="202"/>
      <c r="U226" s="203">
        <f t="shared" si="49"/>
        <v>-0.11674811168258525</v>
      </c>
      <c r="V226" s="204">
        <f t="shared" si="50"/>
        <v>-0.2004409646920613</v>
      </c>
    </row>
    <row r="227" spans="1:22">
      <c r="A227" s="199" t="s">
        <v>251</v>
      </c>
      <c r="B227" s="200">
        <v>127103.001984</v>
      </c>
      <c r="C227" s="205">
        <v>4.0999999999999925E-2</v>
      </c>
      <c r="D227" s="200">
        <v>41715.116982</v>
      </c>
      <c r="E227" s="205">
        <v>7.8000000000000069E-2</v>
      </c>
      <c r="F227" s="200">
        <v>128249.2</v>
      </c>
      <c r="G227" s="200">
        <v>46753.300999999999</v>
      </c>
      <c r="H227" s="202">
        <v>4.0770553052425385E-2</v>
      </c>
      <c r="I227" s="223">
        <f t="shared" si="46"/>
        <v>935695.07608024694</v>
      </c>
      <c r="J227" s="204">
        <v>0.74241486890309805</v>
      </c>
      <c r="K227" s="201"/>
      <c r="L227" s="200">
        <v>0.6</v>
      </c>
      <c r="M227" s="200">
        <f t="shared" si="43"/>
        <v>6.4408207953433525</v>
      </c>
      <c r="N227" s="202">
        <f t="shared" si="51"/>
        <v>626.92116266025664</v>
      </c>
      <c r="O227" s="203">
        <v>631.17596455600778</v>
      </c>
      <c r="P227" s="204">
        <v>0.73223545387554267</v>
      </c>
      <c r="Q227" s="116">
        <f t="shared" si="52"/>
        <v>11.760210766360702</v>
      </c>
      <c r="R227" s="200">
        <f t="shared" si="39"/>
        <v>128054.44017654509</v>
      </c>
      <c r="S227" s="200">
        <v>128136.67148537845</v>
      </c>
      <c r="T227" s="202"/>
      <c r="U227" s="203">
        <f t="shared" si="49"/>
        <v>0.15209142547998322</v>
      </c>
      <c r="V227" s="204">
        <f t="shared" si="50"/>
        <v>8.7819133521338522E-2</v>
      </c>
    </row>
    <row r="228" spans="1:22">
      <c r="A228" s="199" t="s">
        <v>252</v>
      </c>
      <c r="B228" s="200">
        <v>136954.72721700001</v>
      </c>
      <c r="C228" s="205">
        <v>4.1000000000000147E-2</v>
      </c>
      <c r="D228" s="200">
        <v>56524.272420000001</v>
      </c>
      <c r="E228" s="205">
        <v>7.8000000000000069E-2</v>
      </c>
      <c r="F228" s="200">
        <v>129684.38</v>
      </c>
      <c r="G228" s="200">
        <v>47957.932000000001</v>
      </c>
      <c r="H228" s="202">
        <v>4.0770553052425385E-2</v>
      </c>
      <c r="I228" s="223">
        <f t="shared" si="46"/>
        <v>945504.20234002406</v>
      </c>
      <c r="J228" s="204">
        <v>0.73928987493599607</v>
      </c>
      <c r="K228" s="201"/>
      <c r="L228" s="200">
        <v>0.6</v>
      </c>
      <c r="M228" s="200">
        <f t="shared" si="43"/>
        <v>6.450308595822694</v>
      </c>
      <c r="N228" s="202">
        <f t="shared" si="51"/>
        <v>632.89757222648018</v>
      </c>
      <c r="O228" s="203">
        <v>634.60345044889107</v>
      </c>
      <c r="P228" s="204">
        <v>0.7312942611163239</v>
      </c>
      <c r="Q228" s="116">
        <f t="shared" si="52"/>
        <v>11.769026148445732</v>
      </c>
      <c r="R228" s="200">
        <f t="shared" si="39"/>
        <v>129188.27926414179</v>
      </c>
      <c r="S228" s="200">
        <v>129205.02504765475</v>
      </c>
      <c r="T228" s="202"/>
      <c r="U228" s="203">
        <f t="shared" si="49"/>
        <v>0.38401373459264754</v>
      </c>
      <c r="V228" s="204">
        <f t="shared" si="50"/>
        <v>0.37100333533348628</v>
      </c>
    </row>
    <row r="229" spans="1:22">
      <c r="A229" s="199" t="s">
        <v>253</v>
      </c>
      <c r="B229" s="200">
        <v>124724.48036895001</v>
      </c>
      <c r="C229" s="201">
        <v>0.05</v>
      </c>
      <c r="D229" s="200">
        <v>49766.217266920001</v>
      </c>
      <c r="E229" s="201">
        <v>8.5000000000000006E-2</v>
      </c>
      <c r="F229" s="200">
        <v>131638.76</v>
      </c>
      <c r="G229" s="200">
        <v>50843.773000000001</v>
      </c>
      <c r="H229" s="202">
        <v>4.0770553052425385E-2</v>
      </c>
      <c r="I229" s="223">
        <f t="shared" si="46"/>
        <v>957799.24609722896</v>
      </c>
      <c r="J229" s="207">
        <v>0.74033652143399986</v>
      </c>
      <c r="K229" s="201"/>
      <c r="L229" s="200">
        <v>0.6</v>
      </c>
      <c r="M229" s="200">
        <f t="shared" si="43"/>
        <v>6.4592496539515993</v>
      </c>
      <c r="N229" s="202">
        <f t="shared" si="51"/>
        <v>638.5817194879013</v>
      </c>
      <c r="O229" s="203">
        <v>638.03337147484865</v>
      </c>
      <c r="P229" s="204">
        <v>0.73042900105347086</v>
      </c>
      <c r="Q229" s="116">
        <f t="shared" si="52"/>
        <v>11.778874033406817</v>
      </c>
      <c r="R229" s="200">
        <f t="shared" si="39"/>
        <v>130466.79558486385</v>
      </c>
      <c r="S229" s="200">
        <v>130285.69695822262</v>
      </c>
      <c r="T229" s="202"/>
      <c r="U229" s="203">
        <f t="shared" si="49"/>
        <v>0.89828558284306137</v>
      </c>
      <c r="V229" s="204">
        <f t="shared" si="50"/>
        <v>1.0385353675555598</v>
      </c>
    </row>
    <row r="230" spans="1:22">
      <c r="A230" s="199" t="s">
        <v>254</v>
      </c>
      <c r="B230" s="200">
        <v>133355.79997425</v>
      </c>
      <c r="C230" s="205">
        <v>5.0000000000000044E-2</v>
      </c>
      <c r="D230" s="200">
        <v>49788.344327259998</v>
      </c>
      <c r="E230" s="205">
        <v>8.4999999999999964E-2</v>
      </c>
      <c r="F230" s="200">
        <v>133120.19</v>
      </c>
      <c r="G230" s="200">
        <v>52178.046000000002</v>
      </c>
      <c r="H230" s="202">
        <v>4.0770553052425385E-2</v>
      </c>
      <c r="I230" s="223">
        <f t="shared" si="46"/>
        <v>970927.28712064878</v>
      </c>
      <c r="J230" s="207">
        <v>0.74246815816445411</v>
      </c>
      <c r="K230" s="201"/>
      <c r="L230" s="200">
        <v>0.6</v>
      </c>
      <c r="M230" s="200">
        <f t="shared" si="43"/>
        <v>6.4632701156732892</v>
      </c>
      <c r="N230" s="202">
        <f t="shared" si="51"/>
        <v>641.15428082419965</v>
      </c>
      <c r="O230" s="203">
        <v>641.46495586884998</v>
      </c>
      <c r="P230" s="204">
        <v>0.72960990292658812</v>
      </c>
      <c r="Q230" s="116">
        <f t="shared" si="52"/>
        <v>11.789010137785059</v>
      </c>
      <c r="R230" s="200">
        <f t="shared" si="39"/>
        <v>131795.94546397481</v>
      </c>
      <c r="S230" s="200">
        <v>131374.1116602367</v>
      </c>
      <c r="T230" s="202"/>
      <c r="U230" s="203">
        <f t="shared" si="49"/>
        <v>1.004768797221578</v>
      </c>
      <c r="V230" s="204">
        <f t="shared" si="50"/>
        <v>1.3290885987332635</v>
      </c>
    </row>
    <row r="231" spans="1:22">
      <c r="A231" s="199" t="s">
        <v>255</v>
      </c>
      <c r="B231" s="200">
        <v>133458.1520832</v>
      </c>
      <c r="C231" s="205">
        <v>5.0000000000000044E-2</v>
      </c>
      <c r="D231" s="200">
        <v>45260.901925469996</v>
      </c>
      <c r="E231" s="205">
        <v>8.4999999999999964E-2</v>
      </c>
      <c r="F231" s="200">
        <v>134489.4</v>
      </c>
      <c r="G231" s="200">
        <v>50383.993000000002</v>
      </c>
      <c r="H231" s="202">
        <v>4.0770553052425385E-2</v>
      </c>
      <c r="I231" s="223">
        <f t="shared" si="46"/>
        <v>981726.03765104897</v>
      </c>
      <c r="J231" s="207">
        <v>0.74241486890309805</v>
      </c>
      <c r="K231" s="201"/>
      <c r="L231" s="200">
        <v>0.6</v>
      </c>
      <c r="M231" s="200">
        <f t="shared" si="43"/>
        <v>6.4691218805016648</v>
      </c>
      <c r="N231" s="202">
        <f t="shared" si="51"/>
        <v>644.91716390999466</v>
      </c>
      <c r="O231" s="203">
        <v>644.89777458337255</v>
      </c>
      <c r="P231" s="204">
        <v>0.72881338817551811</v>
      </c>
      <c r="Q231" s="116">
        <f t="shared" si="52"/>
        <v>11.798116303132856</v>
      </c>
      <c r="R231" s="200">
        <f t="shared" si="39"/>
        <v>133001.58216796303</v>
      </c>
      <c r="S231" s="200">
        <v>132466.53926125276</v>
      </c>
      <c r="T231" s="202"/>
      <c r="U231" s="203">
        <f t="shared" si="49"/>
        <v>1.1186467166669045</v>
      </c>
      <c r="V231" s="204">
        <f t="shared" si="50"/>
        <v>1.5270729876604605</v>
      </c>
    </row>
    <row r="232" spans="1:22">
      <c r="A232" s="199" t="s">
        <v>256</v>
      </c>
      <c r="B232" s="200">
        <v>143802.46357784999</v>
      </c>
      <c r="C232" s="205">
        <v>4.9999999999999822E-2</v>
      </c>
      <c r="D232" s="200">
        <v>61328.835575700003</v>
      </c>
      <c r="E232" s="205">
        <v>8.4999999999999964E-2</v>
      </c>
      <c r="F232" s="200">
        <v>135759.23000000001</v>
      </c>
      <c r="G232" s="200">
        <v>52726.178999999996</v>
      </c>
      <c r="H232" s="202">
        <v>4.0770553052425385E-2</v>
      </c>
      <c r="I232" s="223">
        <f t="shared" si="46"/>
        <v>994426.70315004955</v>
      </c>
      <c r="J232" s="207">
        <v>0.73928987493599607</v>
      </c>
      <c r="K232" s="201"/>
      <c r="L232" s="200">
        <v>0.6</v>
      </c>
      <c r="M232" s="200">
        <f t="shared" si="43"/>
        <v>6.4759086683713249</v>
      </c>
      <c r="N232" s="202">
        <f t="shared" si="51"/>
        <v>649.30896615268068</v>
      </c>
      <c r="O232" s="203">
        <v>648.33120439899119</v>
      </c>
      <c r="P232" s="204">
        <v>0.72802391464962712</v>
      </c>
      <c r="Q232" s="116">
        <f t="shared" si="52"/>
        <v>11.807917523695922</v>
      </c>
      <c r="R232" s="200">
        <f t="shared" si="39"/>
        <v>134311.56925937854</v>
      </c>
      <c r="S232" s="200">
        <v>133560.34116778895</v>
      </c>
      <c r="T232" s="202"/>
      <c r="U232" s="203">
        <f t="shared" si="49"/>
        <v>1.077837708697893</v>
      </c>
      <c r="V232" s="204">
        <f t="shared" si="50"/>
        <v>1.6463635934027998</v>
      </c>
    </row>
    <row r="233" spans="1:22">
      <c r="B233" s="54"/>
      <c r="C233" s="55"/>
      <c r="D233" s="54"/>
      <c r="E233" s="55"/>
      <c r="G233" s="60"/>
      <c r="H233" s="53"/>
      <c r="I233" s="57"/>
      <c r="J233" s="58"/>
      <c r="K233" s="215"/>
      <c r="L233" s="216"/>
      <c r="M233" s="220"/>
      <c r="N233" s="220"/>
      <c r="O233" s="220"/>
      <c r="P233" s="220"/>
      <c r="Q233" s="220"/>
      <c r="R233" s="213"/>
      <c r="S233" s="213"/>
      <c r="T233" s="213"/>
      <c r="U233" s="217"/>
      <c r="V233" s="217"/>
    </row>
    <row r="234" spans="1:22">
      <c r="A234" s="209"/>
      <c r="B234" s="210"/>
      <c r="C234" s="211"/>
      <c r="D234" s="210"/>
      <c r="E234" s="218"/>
      <c r="F234" s="209"/>
      <c r="G234" s="219"/>
      <c r="H234" s="212"/>
      <c r="I234" s="222"/>
      <c r="J234" s="214"/>
      <c r="K234" s="215"/>
      <c r="L234" s="216"/>
      <c r="M234" s="220"/>
      <c r="N234" s="220"/>
      <c r="O234" s="220"/>
      <c r="P234" s="220"/>
      <c r="Q234" s="220"/>
      <c r="R234" s="213"/>
      <c r="S234" s="213"/>
      <c r="T234" s="213"/>
      <c r="U234" s="217"/>
      <c r="V234" s="217"/>
    </row>
    <row r="235" spans="1:22">
      <c r="A235" s="209"/>
      <c r="B235" s="210"/>
      <c r="C235" s="211"/>
      <c r="D235" s="210"/>
      <c r="E235" s="218"/>
      <c r="F235" s="209"/>
      <c r="G235" s="219"/>
      <c r="H235" s="212"/>
      <c r="I235" s="213"/>
      <c r="J235" s="214"/>
      <c r="K235" s="215"/>
      <c r="L235" s="216"/>
      <c r="M235" s="220"/>
      <c r="N235" s="220"/>
      <c r="O235" s="220"/>
      <c r="P235" s="220"/>
      <c r="Q235" s="220"/>
      <c r="R235" s="213"/>
      <c r="S235" s="213"/>
      <c r="T235" s="213"/>
      <c r="U235" s="217"/>
      <c r="V235" s="217"/>
    </row>
    <row r="236" spans="1:22" ht="12.6" customHeight="1"/>
    <row r="237" spans="1:22" ht="28.8">
      <c r="A237" s="117" t="s">
        <v>5</v>
      </c>
      <c r="B237" s="117" t="s">
        <v>53</v>
      </c>
      <c r="C237" s="117" t="s">
        <v>158</v>
      </c>
      <c r="D237" s="117" t="s">
        <v>27</v>
      </c>
      <c r="E237" s="117" t="s">
        <v>158</v>
      </c>
      <c r="F237" s="117" t="s">
        <v>159</v>
      </c>
      <c r="G237" s="117" t="s">
        <v>160</v>
      </c>
      <c r="H237" s="117" t="s">
        <v>9</v>
      </c>
      <c r="I237" s="99" t="s">
        <v>54</v>
      </c>
      <c r="J237" s="118" t="s">
        <v>55</v>
      </c>
      <c r="K237" s="118" t="s">
        <v>161</v>
      </c>
      <c r="L237" s="100" t="s">
        <v>56</v>
      </c>
      <c r="M237" s="118" t="s">
        <v>57</v>
      </c>
      <c r="N237" s="118" t="s">
        <v>58</v>
      </c>
      <c r="O237" s="118" t="s">
        <v>59</v>
      </c>
      <c r="P237" s="100" t="s">
        <v>65</v>
      </c>
      <c r="Q237" s="100" t="s">
        <v>60</v>
      </c>
      <c r="R237" s="100" t="s">
        <v>61</v>
      </c>
      <c r="S237" s="100" t="s">
        <v>62</v>
      </c>
      <c r="T237" s="117"/>
      <c r="U237" s="100" t="s">
        <v>63</v>
      </c>
      <c r="V237" s="100" t="s">
        <v>64</v>
      </c>
    </row>
    <row r="238" spans="1:22">
      <c r="A238" s="44" t="s">
        <v>150</v>
      </c>
      <c r="B238" s="90">
        <v>69617</v>
      </c>
      <c r="C238" s="123"/>
      <c r="D238" s="90">
        <v>15017</v>
      </c>
      <c r="E238" s="121"/>
      <c r="F238" s="44">
        <v>69056.156000000003</v>
      </c>
      <c r="G238" s="44">
        <v>13986.598</v>
      </c>
      <c r="H238" s="92">
        <v>3.7905246019363403E-2</v>
      </c>
      <c r="I238" s="102">
        <f>'Assumptions for PF'!$B$3*'Assessment on Prod.F'!B15</f>
        <v>409624.51788493275</v>
      </c>
      <c r="J238" s="94">
        <v>0.56134099999999998</v>
      </c>
      <c r="K238" s="95">
        <f>J238/1000</f>
        <v>5.6134100000000003E-4</v>
      </c>
      <c r="L238" s="96">
        <v>0.6</v>
      </c>
      <c r="M238" s="104">
        <f>LN(F238)-L238*LN(J238)-(1-L238)*LN(I238)</f>
        <v>6.3199328530283907</v>
      </c>
      <c r="N238" s="104">
        <f>EXP(M238)</f>
        <v>555.53568865988416</v>
      </c>
      <c r="O238" s="105">
        <f t="array" ref="O238:O341">[1]!HP(N238:N341,1600)</f>
        <v>543.07880393915377</v>
      </c>
      <c r="P238" s="105">
        <f t="array" ref="P238:P341">[1]!HP(J238:J341,1600)</f>
        <v>0.561946476694278</v>
      </c>
      <c r="Q238" s="104">
        <f>LN(O238)+LN(P238)*L238+LN(I238)*(1-L238)</f>
        <v>11.120643717483659</v>
      </c>
      <c r="R238" s="106">
        <f t="shared" ref="R238:R269" si="53">EXP(Q238)</f>
        <v>67551.376284158716</v>
      </c>
      <c r="S238" s="107">
        <f t="array" ref="S238:S341">[1]!HP(F238:F341,1600)</f>
        <v>67098.306226596877</v>
      </c>
      <c r="T238" s="104"/>
      <c r="U238" s="104">
        <f t="shared" ref="U238:U269" si="54">(F238/R238-1)*100</f>
        <v>2.2276077833134567</v>
      </c>
      <c r="V238" s="104">
        <f t="shared" ref="V238:V269" si="55">(F238/S238-1)*100</f>
        <v>2.9178825569624589</v>
      </c>
    </row>
    <row r="239" spans="1:22">
      <c r="A239" s="44" t="s">
        <v>151</v>
      </c>
      <c r="B239" s="90">
        <v>70967</v>
      </c>
      <c r="C239" s="123"/>
      <c r="D239" s="90">
        <v>14415</v>
      </c>
      <c r="E239" s="121"/>
      <c r="F239" s="44">
        <v>69471.797000000006</v>
      </c>
      <c r="G239" s="44">
        <v>13480.117</v>
      </c>
      <c r="H239" s="92">
        <v>3.7905246019363403E-2</v>
      </c>
      <c r="I239" s="101">
        <f>I238*(1-H239)+G239</f>
        <v>407577.7167589413</v>
      </c>
      <c r="J239" s="94">
        <v>0.56134099999999998</v>
      </c>
      <c r="K239" s="95">
        <f t="shared" ref="K239:K302" si="56">J239/1000</f>
        <v>5.6134100000000003E-4</v>
      </c>
      <c r="L239" s="96">
        <v>0.6</v>
      </c>
      <c r="M239" s="104">
        <f t="shared" ref="M239:M302" si="57">LN(F239)-L239*LN(J239)-(1-L239)*LN(I239)</f>
        <v>6.3279374158428388</v>
      </c>
      <c r="N239" s="104">
        <f t="shared" ref="N239:N302" si="58">EXP(M239)</f>
        <v>560.00035398375246</v>
      </c>
      <c r="O239" s="105">
        <v>545.97087940178642</v>
      </c>
      <c r="P239" s="105">
        <v>0.56063999567964451</v>
      </c>
      <c r="Q239" s="104">
        <f t="shared" ref="Q239:Q302" si="59">LN(O239)+LN(P239)*L239+LN(I239)*(1-L239)</f>
        <v>11.12255462464622</v>
      </c>
      <c r="R239" s="106">
        <f t="shared" si="53"/>
        <v>67680.584105699192</v>
      </c>
      <c r="S239" s="107">
        <v>67279.920686566795</v>
      </c>
      <c r="T239" s="104"/>
      <c r="U239" s="104">
        <f t="shared" si="54"/>
        <v>2.6465683149297536</v>
      </c>
      <c r="V239" s="104">
        <f t="shared" si="55"/>
        <v>3.2578461613300469</v>
      </c>
    </row>
    <row r="240" spans="1:22">
      <c r="A240" s="44" t="s">
        <v>152</v>
      </c>
      <c r="B240" s="90">
        <v>70743</v>
      </c>
      <c r="C240" s="123"/>
      <c r="D240" s="90">
        <v>13210</v>
      </c>
      <c r="E240" s="121"/>
      <c r="F240" s="44">
        <v>71332.72</v>
      </c>
      <c r="G240" s="44">
        <v>17570.401000000002</v>
      </c>
      <c r="H240" s="92">
        <v>3.7905246019363403E-2</v>
      </c>
      <c r="I240" s="101">
        <f t="shared" ref="I240:I303" si="60">I239*(1-H240)+G240</f>
        <v>409698.78413318325</v>
      </c>
      <c r="J240" s="94">
        <v>0.56134099999999998</v>
      </c>
      <c r="K240" s="95">
        <f t="shared" si="56"/>
        <v>5.6134100000000003E-4</v>
      </c>
      <c r="L240" s="96">
        <v>0.6</v>
      </c>
      <c r="M240" s="104">
        <f t="shared" si="57"/>
        <v>6.3522954378263732</v>
      </c>
      <c r="N240" s="104">
        <f t="shared" si="58"/>
        <v>573.80833982995921</v>
      </c>
      <c r="O240" s="105">
        <v>548.87074041736957</v>
      </c>
      <c r="P240" s="105">
        <v>0.55933313624207714</v>
      </c>
      <c r="Q240" s="104">
        <f t="shared" si="59"/>
        <v>11.128527946819496</v>
      </c>
      <c r="R240" s="106">
        <f t="shared" si="53"/>
        <v>68086.071888350416</v>
      </c>
      <c r="S240" s="107">
        <v>67462.758802645083</v>
      </c>
      <c r="T240" s="104"/>
      <c r="U240" s="104">
        <f t="shared" si="54"/>
        <v>4.7684467933082342</v>
      </c>
      <c r="V240" s="104">
        <f t="shared" si="55"/>
        <v>5.7364407653058835</v>
      </c>
    </row>
    <row r="241" spans="1:22">
      <c r="A241" s="44" t="s">
        <v>153</v>
      </c>
      <c r="B241" s="90">
        <v>68467</v>
      </c>
      <c r="C241" s="123"/>
      <c r="D241" s="90">
        <v>11403</v>
      </c>
      <c r="E241" s="121"/>
      <c r="F241" s="44">
        <v>70369.73</v>
      </c>
      <c r="G241" s="44">
        <v>8971.5385999999999</v>
      </c>
      <c r="H241" s="92">
        <v>3.7905246019363403E-2</v>
      </c>
      <c r="I241" s="101">
        <f t="shared" si="60"/>
        <v>403140.58952678088</v>
      </c>
      <c r="J241" s="94">
        <v>0.56134099999999998</v>
      </c>
      <c r="K241" s="95">
        <f t="shared" si="56"/>
        <v>5.6134100000000003E-4</v>
      </c>
      <c r="L241" s="96">
        <v>0.6</v>
      </c>
      <c r="M241" s="104">
        <f t="shared" si="57"/>
        <v>6.3451582520898206</v>
      </c>
      <c r="N241" s="104">
        <f t="shared" si="58"/>
        <v>569.72754315608722</v>
      </c>
      <c r="O241" s="105">
        <v>551.79494096046733</v>
      </c>
      <c r="P241" s="105">
        <v>0.55802595808634214</v>
      </c>
      <c r="Q241" s="104">
        <f t="shared" si="59"/>
        <v>11.125982869795244</v>
      </c>
      <c r="R241" s="106">
        <f t="shared" si="53"/>
        <v>67913.007915104157</v>
      </c>
      <c r="S241" s="107">
        <v>67649.414153636011</v>
      </c>
      <c r="T241" s="104"/>
      <c r="U241" s="104">
        <f t="shared" si="54"/>
        <v>3.6174543880708399</v>
      </c>
      <c r="V241" s="104">
        <f t="shared" si="55"/>
        <v>4.0211964588281246</v>
      </c>
    </row>
    <row r="242" spans="1:22">
      <c r="A242" s="44" t="s">
        <v>154</v>
      </c>
      <c r="B242" s="90">
        <v>73289</v>
      </c>
      <c r="C242" s="123">
        <f t="shared" ref="C242:C289" si="61">B242/B238-1</f>
        <v>5.2745737391729053E-2</v>
      </c>
      <c r="D242" s="90">
        <v>17987</v>
      </c>
      <c r="E242" s="122">
        <f>D242/D238-1</f>
        <v>0.19777585403209685</v>
      </c>
      <c r="F242" s="44">
        <v>72522.183999999994</v>
      </c>
      <c r="G242" s="44">
        <v>16992.221000000001</v>
      </c>
      <c r="H242" s="92">
        <v>3.7905246019363403E-2</v>
      </c>
      <c r="I242" s="101">
        <f t="shared" si="60"/>
        <v>404851.6673003771</v>
      </c>
      <c r="J242" s="94">
        <v>0.56134099999999998</v>
      </c>
      <c r="K242" s="95">
        <f t="shared" si="56"/>
        <v>5.6134100000000003E-4</v>
      </c>
      <c r="L242" s="96">
        <v>0.6</v>
      </c>
      <c r="M242" s="104">
        <f t="shared" si="57"/>
        <v>6.3735933990669746</v>
      </c>
      <c r="N242" s="104">
        <f t="shared" si="58"/>
        <v>586.16035709772916</v>
      </c>
      <c r="O242" s="105">
        <v>554.77562100527666</v>
      </c>
      <c r="P242" s="105">
        <v>0.55671977583205434</v>
      </c>
      <c r="Q242" s="104">
        <f t="shared" si="59"/>
        <v>11.131658199030127</v>
      </c>
      <c r="R242" s="106">
        <f t="shared" si="53"/>
        <v>68299.532383686877</v>
      </c>
      <c r="S242" s="107">
        <v>67844.899044092192</v>
      </c>
      <c r="T242" s="104"/>
      <c r="U242" s="104">
        <f t="shared" si="54"/>
        <v>6.1825483556629424</v>
      </c>
      <c r="V242" s="104">
        <f t="shared" si="55"/>
        <v>6.8940849228297241</v>
      </c>
    </row>
    <row r="243" spans="1:22">
      <c r="A243" s="44" t="s">
        <v>155</v>
      </c>
      <c r="B243" s="90">
        <v>68059</v>
      </c>
      <c r="C243" s="123">
        <f t="shared" si="61"/>
        <v>-4.0976792030098519E-2</v>
      </c>
      <c r="D243" s="90">
        <v>13334</v>
      </c>
      <c r="E243" s="122">
        <f t="shared" ref="E243:E306" si="62">D243/D239-1</f>
        <v>-7.4991328477280628E-2</v>
      </c>
      <c r="F243" s="44">
        <v>65834.960999999996</v>
      </c>
      <c r="G243" s="44">
        <v>12355.531999999999</v>
      </c>
      <c r="H243" s="92">
        <v>3.7905246019363403E-2</v>
      </c>
      <c r="I243" s="101">
        <f t="shared" si="60"/>
        <v>401861.19725000684</v>
      </c>
      <c r="J243" s="94">
        <v>0.56134099999999998</v>
      </c>
      <c r="K243" s="95">
        <f t="shared" si="56"/>
        <v>5.6134100000000003E-4</v>
      </c>
      <c r="L243" s="96">
        <v>0.6</v>
      </c>
      <c r="M243" s="104">
        <f t="shared" si="57"/>
        <v>6.2798175163883965</v>
      </c>
      <c r="N243" s="104">
        <f t="shared" si="58"/>
        <v>533.69126502946563</v>
      </c>
      <c r="O243" s="105">
        <v>557.85612840236672</v>
      </c>
      <c r="P243" s="105">
        <v>0.55541797600002463</v>
      </c>
      <c r="Q243" s="104">
        <f t="shared" si="59"/>
        <v>11.132825302471723</v>
      </c>
      <c r="R243" s="106">
        <f t="shared" si="53"/>
        <v>68379.291537529178</v>
      </c>
      <c r="S243" s="107">
        <v>68055.925975970211</v>
      </c>
      <c r="T243" s="104"/>
      <c r="U243" s="104">
        <f t="shared" si="54"/>
        <v>-3.7209080122346028</v>
      </c>
      <c r="V243" s="104">
        <f t="shared" si="55"/>
        <v>-3.263440977578369</v>
      </c>
    </row>
    <row r="244" spans="1:22">
      <c r="A244" s="44" t="s">
        <v>156</v>
      </c>
      <c r="B244" s="90">
        <v>61742</v>
      </c>
      <c r="C244" s="123">
        <f t="shared" si="61"/>
        <v>-0.12723520348303008</v>
      </c>
      <c r="D244" s="90">
        <v>2943</v>
      </c>
      <c r="E244" s="122">
        <f t="shared" si="62"/>
        <v>-0.77721423164269487</v>
      </c>
      <c r="F244" s="44">
        <v>64534.065999999999</v>
      </c>
      <c r="G244" s="44">
        <v>7481.4564</v>
      </c>
      <c r="H244" s="92">
        <v>3.7905246019363403E-2</v>
      </c>
      <c r="I244" s="101">
        <f t="shared" si="60"/>
        <v>394110.00610260945</v>
      </c>
      <c r="J244" s="94">
        <v>0.56134099999999998</v>
      </c>
      <c r="K244" s="95">
        <f t="shared" si="56"/>
        <v>5.6134100000000003E-4</v>
      </c>
      <c r="L244" s="96">
        <v>0.6</v>
      </c>
      <c r="M244" s="104">
        <f t="shared" si="57"/>
        <v>6.2676504063417608</v>
      </c>
      <c r="N244" s="104">
        <f t="shared" si="58"/>
        <v>527.23712839383984</v>
      </c>
      <c r="O244" s="105">
        <v>561.09942646236448</v>
      </c>
      <c r="P244" s="105">
        <v>0.55412683337616886</v>
      </c>
      <c r="Q244" s="104">
        <f t="shared" si="59"/>
        <v>11.129435255240971</v>
      </c>
      <c r="R244" s="106">
        <f t="shared" si="53"/>
        <v>68147.874987756411</v>
      </c>
      <c r="S244" s="107">
        <v>68292.130754324084</v>
      </c>
      <c r="T244" s="104"/>
      <c r="U244" s="104">
        <f t="shared" si="54"/>
        <v>-5.3028931399631718</v>
      </c>
      <c r="V244" s="104">
        <f t="shared" si="55"/>
        <v>-5.5029250263744833</v>
      </c>
    </row>
    <row r="245" spans="1:22">
      <c r="A245" s="44" t="s">
        <v>157</v>
      </c>
      <c r="B245" s="90">
        <v>68122</v>
      </c>
      <c r="C245" s="123">
        <f t="shared" si="61"/>
        <v>-5.0389238611301401E-3</v>
      </c>
      <c r="D245" s="90">
        <v>16458</v>
      </c>
      <c r="E245" s="122">
        <f t="shared" si="62"/>
        <v>0.44330439358063667</v>
      </c>
      <c r="F245" s="44">
        <v>66583.490999999995</v>
      </c>
      <c r="G245" s="44">
        <v>13720.753000000001</v>
      </c>
      <c r="H245" s="92">
        <v>3.7905246019363403E-2</v>
      </c>
      <c r="I245" s="101">
        <f t="shared" si="60"/>
        <v>392891.92236259725</v>
      </c>
      <c r="J245" s="94">
        <v>0.56134099999999998</v>
      </c>
      <c r="K245" s="95">
        <f t="shared" si="56"/>
        <v>5.6134100000000003E-4</v>
      </c>
      <c r="L245" s="96">
        <v>0.6</v>
      </c>
      <c r="M245" s="104">
        <f t="shared" si="57"/>
        <v>6.3001520333802885</v>
      </c>
      <c r="N245" s="104">
        <f t="shared" si="58"/>
        <v>544.65470952821272</v>
      </c>
      <c r="O245" s="105">
        <v>564.55337545628879</v>
      </c>
      <c r="P245" s="105">
        <v>0.55285632463640288</v>
      </c>
      <c r="Q245" s="104">
        <f t="shared" si="59"/>
        <v>11.132956597956964</v>
      </c>
      <c r="R245" s="106">
        <f t="shared" si="53"/>
        <v>68388.270019196207</v>
      </c>
      <c r="S245" s="107">
        <v>68561.761081097851</v>
      </c>
      <c r="T245" s="104"/>
      <c r="U245" s="104">
        <f t="shared" si="54"/>
        <v>-2.6390183853014837</v>
      </c>
      <c r="V245" s="104">
        <f t="shared" si="55"/>
        <v>-2.8853839952533766</v>
      </c>
    </row>
    <row r="246" spans="1:22">
      <c r="A246" s="44" t="s">
        <v>66</v>
      </c>
      <c r="B246" s="90">
        <v>65391</v>
      </c>
      <c r="C246" s="123">
        <f t="shared" si="61"/>
        <v>-0.10776514893094458</v>
      </c>
      <c r="D246" s="90">
        <v>16199</v>
      </c>
      <c r="E246" s="122">
        <f t="shared" si="62"/>
        <v>-9.9405125924278637E-2</v>
      </c>
      <c r="F246" s="44">
        <v>67013.910999999905</v>
      </c>
      <c r="G246" s="44">
        <v>15487.614</v>
      </c>
      <c r="H246" s="92">
        <v>3.7216849625110626E-2</v>
      </c>
      <c r="I246" s="101">
        <f>I245*(1-H246)+G246</f>
        <v>393757.33676910785</v>
      </c>
      <c r="J246" s="94">
        <v>0.56134099999999998</v>
      </c>
      <c r="K246" s="95">
        <f t="shared" si="56"/>
        <v>5.6134100000000003E-4</v>
      </c>
      <c r="L246" s="96">
        <v>0.6</v>
      </c>
      <c r="M246" s="104">
        <f t="shared" si="57"/>
        <v>6.305715491872582</v>
      </c>
      <c r="N246" s="104">
        <f t="shared" si="58"/>
        <v>547.69331814616692</v>
      </c>
      <c r="O246" s="105">
        <v>568.24467171886579</v>
      </c>
      <c r="P246" s="105">
        <v>0.55162093531078249</v>
      </c>
      <c r="Q246" s="104">
        <f t="shared" si="59"/>
        <v>11.139011618848517</v>
      </c>
      <c r="R246" s="106">
        <f t="shared" si="53"/>
        <v>68803.618626143114</v>
      </c>
      <c r="S246" s="107">
        <v>68870.715867764098</v>
      </c>
      <c r="T246" s="104"/>
      <c r="U246" s="104">
        <f t="shared" si="54"/>
        <v>-2.6011824114483106</v>
      </c>
      <c r="V246" s="104">
        <f t="shared" si="55"/>
        <v>-2.6960731340870181</v>
      </c>
    </row>
    <row r="247" spans="1:22">
      <c r="A247" s="44" t="s">
        <v>67</v>
      </c>
      <c r="B247" s="90">
        <v>68527</v>
      </c>
      <c r="C247" s="123">
        <f t="shared" si="61"/>
        <v>6.8763866645116245E-3</v>
      </c>
      <c r="D247" s="90">
        <v>15398</v>
      </c>
      <c r="E247" s="122">
        <f t="shared" si="62"/>
        <v>0.15479226038698068</v>
      </c>
      <c r="F247" s="44">
        <v>67813.296000000002</v>
      </c>
      <c r="G247" s="44">
        <v>14378.123</v>
      </c>
      <c r="H247" s="92">
        <v>3.7216849625110626E-2</v>
      </c>
      <c r="I247" s="101">
        <f t="shared" si="60"/>
        <v>393481.05217778793</v>
      </c>
      <c r="J247" s="94">
        <v>0.56134099999999998</v>
      </c>
      <c r="K247" s="95">
        <f t="shared" si="56"/>
        <v>5.6134100000000003E-4</v>
      </c>
      <c r="L247" s="96">
        <v>0.6</v>
      </c>
      <c r="M247" s="104">
        <f t="shared" si="57"/>
        <v>6.3178543124255508</v>
      </c>
      <c r="N247" s="104">
        <f t="shared" si="58"/>
        <v>554.38218439269872</v>
      </c>
      <c r="O247" s="105">
        <v>572.18757491861641</v>
      </c>
      <c r="P247" s="105">
        <v>0.55044045385146567</v>
      </c>
      <c r="Q247" s="104">
        <f t="shared" si="59"/>
        <v>11.144360245627905</v>
      </c>
      <c r="R247" s="106">
        <f t="shared" si="53"/>
        <v>69172.609420600202</v>
      </c>
      <c r="S247" s="107">
        <v>69223.657606994733</v>
      </c>
      <c r="T247" s="104"/>
      <c r="U247" s="104">
        <f t="shared" si="54"/>
        <v>-1.9651035749352341</v>
      </c>
      <c r="V247" s="104">
        <f t="shared" si="55"/>
        <v>-2.0373982764704701</v>
      </c>
    </row>
    <row r="248" spans="1:22">
      <c r="A248" s="44" t="s">
        <v>68</v>
      </c>
      <c r="B248" s="90">
        <v>67072</v>
      </c>
      <c r="C248" s="123">
        <f t="shared" si="61"/>
        <v>8.6326973535032936E-2</v>
      </c>
      <c r="D248" s="90">
        <v>9238</v>
      </c>
      <c r="E248" s="122">
        <f t="shared" si="62"/>
        <v>2.1389738362215427</v>
      </c>
      <c r="F248" s="44">
        <v>68501.62</v>
      </c>
      <c r="G248" s="44">
        <v>13712.239</v>
      </c>
      <c r="H248" s="92">
        <v>3.7216849625110626E-2</v>
      </c>
      <c r="I248" s="101">
        <f t="shared" si="60"/>
        <v>392549.16602855688</v>
      </c>
      <c r="J248" s="94">
        <v>0.56134099999999998</v>
      </c>
      <c r="K248" s="95">
        <f t="shared" si="56"/>
        <v>5.6134100000000003E-4</v>
      </c>
      <c r="L248" s="96">
        <v>0.6</v>
      </c>
      <c r="M248" s="104">
        <f t="shared" si="57"/>
        <v>6.3289018737453944</v>
      </c>
      <c r="N248" s="104">
        <f t="shared" si="58"/>
        <v>560.54071128463477</v>
      </c>
      <c r="O248" s="105">
        <v>576.38350012807871</v>
      </c>
      <c r="P248" s="105">
        <v>0.54934074375104114</v>
      </c>
      <c r="Q248" s="104">
        <f t="shared" si="59"/>
        <v>11.149518246374106</v>
      </c>
      <c r="R248" s="106">
        <f t="shared" si="53"/>
        <v>69530.323543383623</v>
      </c>
      <c r="S248" s="107">
        <v>69624.088288419298</v>
      </c>
      <c r="T248" s="104"/>
      <c r="U248" s="104">
        <f t="shared" si="54"/>
        <v>-1.4795034611650659</v>
      </c>
      <c r="V248" s="104">
        <f t="shared" si="55"/>
        <v>-1.6121838231754726</v>
      </c>
    </row>
    <row r="249" spans="1:22">
      <c r="A249" s="44" t="s">
        <v>69</v>
      </c>
      <c r="B249" s="90">
        <v>74273</v>
      </c>
      <c r="C249" s="123">
        <f t="shared" si="61"/>
        <v>9.0293884501335908E-2</v>
      </c>
      <c r="D249" s="90">
        <v>19025</v>
      </c>
      <c r="E249" s="122">
        <f t="shared" si="62"/>
        <v>0.1559727791955281</v>
      </c>
      <c r="F249" s="44">
        <v>68741.712</v>
      </c>
      <c r="G249" s="44">
        <v>16018.507</v>
      </c>
      <c r="H249" s="92">
        <v>3.7216849625110626E-2</v>
      </c>
      <c r="I249" s="101">
        <f t="shared" si="60"/>
        <v>393958.22974600946</v>
      </c>
      <c r="J249" s="94">
        <v>0.56134099999999998</v>
      </c>
      <c r="K249" s="95">
        <f t="shared" si="56"/>
        <v>5.6134100000000003E-4</v>
      </c>
      <c r="L249" s="96">
        <v>0.6</v>
      </c>
      <c r="M249" s="104">
        <f t="shared" si="57"/>
        <v>6.330967417810113</v>
      </c>
      <c r="N249" s="104">
        <f t="shared" si="58"/>
        <v>561.69972941329365</v>
      </c>
      <c r="O249" s="105">
        <v>580.82273405071192</v>
      </c>
      <c r="P249" s="105">
        <v>0.54835448134344034</v>
      </c>
      <c r="Q249" s="104">
        <f t="shared" si="59"/>
        <v>11.157545669671656</v>
      </c>
      <c r="R249" s="106">
        <f t="shared" si="53"/>
        <v>70090.719139515175</v>
      </c>
      <c r="S249" s="107">
        <v>70074.628425662959</v>
      </c>
      <c r="T249" s="104"/>
      <c r="U249" s="104">
        <f t="shared" si="54"/>
        <v>-1.9246587224051481</v>
      </c>
      <c r="V249" s="104">
        <f t="shared" si="55"/>
        <v>-1.9021384138725117</v>
      </c>
    </row>
    <row r="250" spans="1:22">
      <c r="A250" s="44" t="s">
        <v>70</v>
      </c>
      <c r="B250" s="90">
        <v>64254</v>
      </c>
      <c r="C250" s="123">
        <f t="shared" si="61"/>
        <v>-1.7387713905583357E-2</v>
      </c>
      <c r="D250" s="90">
        <v>17124</v>
      </c>
      <c r="E250" s="122">
        <f t="shared" si="62"/>
        <v>5.7102290264831268E-2</v>
      </c>
      <c r="F250" s="44">
        <v>68854.225000000006</v>
      </c>
      <c r="G250" s="44">
        <v>16846.677</v>
      </c>
      <c r="H250" s="92">
        <v>3.6792945116758347E-2</v>
      </c>
      <c r="I250" s="101">
        <f t="shared" si="60"/>
        <v>396310.0232206693</v>
      </c>
      <c r="J250" s="94">
        <v>0.54510800000000004</v>
      </c>
      <c r="K250" s="95">
        <f t="shared" si="56"/>
        <v>5.4510799999999999E-4</v>
      </c>
      <c r="L250" s="96">
        <v>0.6</v>
      </c>
      <c r="M250" s="104">
        <f t="shared" si="57"/>
        <v>6.3478288425043665</v>
      </c>
      <c r="N250" s="104">
        <f t="shared" si="58"/>
        <v>571.25108554509404</v>
      </c>
      <c r="O250" s="105">
        <v>585.48566164694807</v>
      </c>
      <c r="P250" s="105">
        <v>0.5475218431227501</v>
      </c>
      <c r="Q250" s="104">
        <f t="shared" si="59"/>
        <v>11.167010768824461</v>
      </c>
      <c r="R250" s="106">
        <f t="shared" si="53"/>
        <v>70757.284322283784</v>
      </c>
      <c r="S250" s="107">
        <v>70577.1969896706</v>
      </c>
      <c r="T250" s="104"/>
      <c r="U250" s="104">
        <f t="shared" si="54"/>
        <v>-2.6895595845874531</v>
      </c>
      <c r="V250" s="104">
        <f t="shared" si="55"/>
        <v>-2.4412587395936991</v>
      </c>
    </row>
    <row r="251" spans="1:22">
      <c r="A251" s="44" t="s">
        <v>71</v>
      </c>
      <c r="B251" s="90">
        <v>67256</v>
      </c>
      <c r="C251" s="123">
        <f t="shared" si="61"/>
        <v>-1.8547433858187246E-2</v>
      </c>
      <c r="D251" s="90">
        <v>14675</v>
      </c>
      <c r="E251" s="122">
        <f t="shared" si="62"/>
        <v>-4.6954149889596009E-2</v>
      </c>
      <c r="F251" s="44">
        <v>69022.683999999994</v>
      </c>
      <c r="G251" s="44">
        <v>13602.65</v>
      </c>
      <c r="H251" s="92">
        <v>3.6792945116758347E-2</v>
      </c>
      <c r="I251" s="101">
        <f t="shared" si="60"/>
        <v>395331.26028709003</v>
      </c>
      <c r="J251" s="94">
        <v>0.54510800000000004</v>
      </c>
      <c r="K251" s="95">
        <f t="shared" si="56"/>
        <v>5.4510799999999999E-4</v>
      </c>
      <c r="L251" s="96">
        <v>0.6</v>
      </c>
      <c r="M251" s="104">
        <f t="shared" si="57"/>
        <v>6.3512615560370893</v>
      </c>
      <c r="N251" s="104">
        <f t="shared" si="58"/>
        <v>573.2153964063906</v>
      </c>
      <c r="O251" s="105">
        <v>590.34071599932065</v>
      </c>
      <c r="P251" s="105">
        <v>0.54689112215721769</v>
      </c>
      <c r="Q251" s="104">
        <f t="shared" si="59"/>
        <v>11.173588260316883</v>
      </c>
      <c r="R251" s="106">
        <f t="shared" si="53"/>
        <v>71224.223719449263</v>
      </c>
      <c r="S251" s="107">
        <v>71132.879878621054</v>
      </c>
      <c r="T251" s="104"/>
      <c r="U251" s="104">
        <f t="shared" si="54"/>
        <v>-3.0909985458333455</v>
      </c>
      <c r="V251" s="104">
        <f t="shared" si="55"/>
        <v>-2.9665548227793326</v>
      </c>
    </row>
    <row r="252" spans="1:22">
      <c r="A252" s="44" t="s">
        <v>72</v>
      </c>
      <c r="B252" s="90">
        <v>70098</v>
      </c>
      <c r="C252" s="123">
        <f t="shared" si="61"/>
        <v>4.5115696564885566E-2</v>
      </c>
      <c r="D252" s="90">
        <v>10828</v>
      </c>
      <c r="E252" s="122">
        <f t="shared" si="62"/>
        <v>0.17211517644511809</v>
      </c>
      <c r="F252" s="44">
        <v>70000.740000000005</v>
      </c>
      <c r="G252" s="44">
        <v>15129.257</v>
      </c>
      <c r="H252" s="92">
        <v>3.6792945116758347E-2</v>
      </c>
      <c r="I252" s="101">
        <f t="shared" si="60"/>
        <v>395915.11592440819</v>
      </c>
      <c r="J252" s="94">
        <v>0.54510800000000004</v>
      </c>
      <c r="K252" s="95">
        <f t="shared" si="56"/>
        <v>5.4510799999999999E-4</v>
      </c>
      <c r="L252" s="96">
        <v>0.6</v>
      </c>
      <c r="M252" s="104">
        <f t="shared" si="57"/>
        <v>6.3647418502788948</v>
      </c>
      <c r="N252" s="104">
        <f t="shared" si="58"/>
        <v>580.99482530412195</v>
      </c>
      <c r="O252" s="105">
        <v>595.34743358029948</v>
      </c>
      <c r="P252" s="105">
        <v>0.54650910286313858</v>
      </c>
      <c r="Q252" s="104">
        <f t="shared" si="59"/>
        <v>11.182204613618293</v>
      </c>
      <c r="R252" s="106">
        <f t="shared" si="53"/>
        <v>71840.56830278429</v>
      </c>
      <c r="S252" s="107">
        <v>71741.686133199619</v>
      </c>
      <c r="T252" s="104"/>
      <c r="U252" s="104">
        <f t="shared" si="54"/>
        <v>-2.5609879574309824</v>
      </c>
      <c r="V252" s="104">
        <f t="shared" si="55"/>
        <v>-2.4266869473450581</v>
      </c>
    </row>
    <row r="253" spans="1:22">
      <c r="A253" s="44" t="s">
        <v>73</v>
      </c>
      <c r="B253" s="90">
        <v>79773</v>
      </c>
      <c r="C253" s="123">
        <f t="shared" si="61"/>
        <v>7.4051135675144319E-2</v>
      </c>
      <c r="D253" s="90">
        <v>14207</v>
      </c>
      <c r="E253" s="122">
        <f t="shared" si="62"/>
        <v>-0.25324572930354794</v>
      </c>
      <c r="F253" s="44">
        <v>71058.535999999905</v>
      </c>
      <c r="G253" s="44">
        <v>10950.313</v>
      </c>
      <c r="H253" s="92">
        <v>3.6792945116758347E-2</v>
      </c>
      <c r="I253" s="101">
        <f t="shared" si="60"/>
        <v>392298.54579330643</v>
      </c>
      <c r="J253" s="94">
        <v>0.54510800000000004</v>
      </c>
      <c r="K253" s="95">
        <f t="shared" si="56"/>
        <v>5.4510799999999999E-4</v>
      </c>
      <c r="L253" s="96">
        <v>0.6</v>
      </c>
      <c r="M253" s="104">
        <f t="shared" si="57"/>
        <v>6.3834107002162286</v>
      </c>
      <c r="N253" s="104">
        <f t="shared" si="58"/>
        <v>591.9432094008132</v>
      </c>
      <c r="O253" s="105">
        <v>600.45464753760893</v>
      </c>
      <c r="P253" s="105">
        <v>0.54642145520546015</v>
      </c>
      <c r="Q253" s="104">
        <f t="shared" si="59"/>
        <v>11.186979661285356</v>
      </c>
      <c r="R253" s="106">
        <f t="shared" si="53"/>
        <v>72184.430767319165</v>
      </c>
      <c r="S253" s="107">
        <v>72402.305921667445</v>
      </c>
      <c r="T253" s="104"/>
      <c r="U253" s="104">
        <f t="shared" si="54"/>
        <v>-1.5597473795263328</v>
      </c>
      <c r="V253" s="104">
        <f t="shared" si="55"/>
        <v>-1.8559766910205555</v>
      </c>
    </row>
    <row r="254" spans="1:22">
      <c r="A254" s="44" t="s">
        <v>74</v>
      </c>
      <c r="B254" s="90">
        <v>64540</v>
      </c>
      <c r="C254" s="123">
        <f t="shared" si="61"/>
        <v>4.4510847573691059E-3</v>
      </c>
      <c r="D254" s="90">
        <v>11106</v>
      </c>
      <c r="E254" s="122">
        <f t="shared" si="62"/>
        <v>-0.35143658023826208</v>
      </c>
      <c r="F254" s="44">
        <v>70990.024999999994</v>
      </c>
      <c r="G254" s="44">
        <v>11355.884</v>
      </c>
      <c r="H254" s="92">
        <v>3.6289900541305542E-2</v>
      </c>
      <c r="I254" s="101">
        <f t="shared" si="60"/>
        <v>389417.95458396856</v>
      </c>
      <c r="J254" s="94">
        <v>0.52299499999999999</v>
      </c>
      <c r="K254" s="95">
        <f t="shared" si="56"/>
        <v>5.2299499999999995E-4</v>
      </c>
      <c r="L254" s="96">
        <v>0.6</v>
      </c>
      <c r="M254" s="104">
        <f t="shared" si="57"/>
        <v>6.4102412866358742</v>
      </c>
      <c r="N254" s="104">
        <f t="shared" si="58"/>
        <v>608.04037537972408</v>
      </c>
      <c r="O254" s="105">
        <v>605.60222063880076</v>
      </c>
      <c r="P254" s="105">
        <v>0.54667297345984012</v>
      </c>
      <c r="Q254" s="104">
        <f t="shared" si="59"/>
        <v>11.19284405458346</v>
      </c>
      <c r="R254" s="106">
        <f t="shared" si="53"/>
        <v>72608.992340599754</v>
      </c>
      <c r="S254" s="107">
        <v>73112.341320952444</v>
      </c>
      <c r="T254" s="104"/>
      <c r="U254" s="104">
        <f t="shared" si="54"/>
        <v>-2.2297063881638546</v>
      </c>
      <c r="V254" s="104">
        <f t="shared" si="55"/>
        <v>-2.9028154243286974</v>
      </c>
    </row>
    <row r="255" spans="1:22">
      <c r="A255" s="44" t="s">
        <v>75</v>
      </c>
      <c r="B255" s="90">
        <v>69659</v>
      </c>
      <c r="C255" s="123">
        <f t="shared" si="61"/>
        <v>3.5729154276198383E-2</v>
      </c>
      <c r="D255" s="90">
        <v>17872</v>
      </c>
      <c r="E255" s="122">
        <f t="shared" si="62"/>
        <v>0.21785349233390128</v>
      </c>
      <c r="F255" s="44">
        <v>72289.948000000004</v>
      </c>
      <c r="G255" s="44">
        <v>16718.04</v>
      </c>
      <c r="H255" s="92">
        <v>3.6289900541305542E-2</v>
      </c>
      <c r="I255" s="101">
        <f>I254*(1-H255)+G255</f>
        <v>392004.0557431177</v>
      </c>
      <c r="J255" s="94">
        <v>0.52299499999999999</v>
      </c>
      <c r="K255" s="95">
        <f t="shared" si="56"/>
        <v>5.2299499999999995E-4</v>
      </c>
      <c r="L255" s="96">
        <v>0.6</v>
      </c>
      <c r="M255" s="104">
        <f t="shared" si="57"/>
        <v>6.4257394057835411</v>
      </c>
      <c r="N255" s="104">
        <f t="shared" si="58"/>
        <v>617.53725939532399</v>
      </c>
      <c r="O255" s="105">
        <v>610.72469600259114</v>
      </c>
      <c r="P255" s="105">
        <v>0.54730763099243296</v>
      </c>
      <c r="Q255" s="104">
        <f t="shared" si="59"/>
        <v>11.204610721487143</v>
      </c>
      <c r="R255" s="106">
        <f t="shared" si="53"/>
        <v>73468.40445999139</v>
      </c>
      <c r="S255" s="107">
        <v>73868.55455178149</v>
      </c>
      <c r="T255" s="104"/>
      <c r="U255" s="104">
        <f t="shared" si="54"/>
        <v>-1.6040316495958939</v>
      </c>
      <c r="V255" s="104">
        <f t="shared" si="55"/>
        <v>-2.1370481138559327</v>
      </c>
    </row>
    <row r="256" spans="1:22">
      <c r="A256" s="44" t="s">
        <v>76</v>
      </c>
      <c r="B256" s="90">
        <v>74784</v>
      </c>
      <c r="C256" s="123">
        <f t="shared" si="61"/>
        <v>6.6849268167422649E-2</v>
      </c>
      <c r="D256" s="90">
        <v>12905</v>
      </c>
      <c r="E256" s="122">
        <f t="shared" si="62"/>
        <v>0.19181751015884752</v>
      </c>
      <c r="F256" s="44">
        <v>74687.240000000005</v>
      </c>
      <c r="G256" s="44">
        <v>17118.411</v>
      </c>
      <c r="H256" s="92">
        <v>3.6289900541305542E-2</v>
      </c>
      <c r="I256" s="101">
        <f t="shared" si="60"/>
        <v>394896.67854841158</v>
      </c>
      <c r="J256" s="94">
        <v>0.52299499999999999</v>
      </c>
      <c r="K256" s="95">
        <f t="shared" si="56"/>
        <v>5.2299499999999995E-4</v>
      </c>
      <c r="L256" s="96">
        <v>0.6</v>
      </c>
      <c r="M256" s="104">
        <f t="shared" si="57"/>
        <v>6.4554227904970389</v>
      </c>
      <c r="N256" s="104">
        <f t="shared" si="58"/>
        <v>636.14262446134023</v>
      </c>
      <c r="O256" s="105">
        <v>615.75814059440927</v>
      </c>
      <c r="P256" s="105">
        <v>0.54835460243598055</v>
      </c>
      <c r="Q256" s="104">
        <f t="shared" si="59"/>
        <v>11.216906162138574</v>
      </c>
      <c r="R256" s="106">
        <f t="shared" si="53"/>
        <v>74377.307095523662</v>
      </c>
      <c r="S256" s="107">
        <v>74666.381387180852</v>
      </c>
      <c r="T256" s="104"/>
      <c r="U256" s="104">
        <f t="shared" si="54"/>
        <v>0.41670358417023046</v>
      </c>
      <c r="V256" s="104">
        <f t="shared" si="55"/>
        <v>2.7935748902829793E-2</v>
      </c>
    </row>
    <row r="257" spans="1:22">
      <c r="A257" s="44" t="s">
        <v>77</v>
      </c>
      <c r="B257" s="90">
        <v>85550</v>
      </c>
      <c r="C257" s="123">
        <f t="shared" si="61"/>
        <v>7.2417986035375304E-2</v>
      </c>
      <c r="D257" s="90">
        <v>25552</v>
      </c>
      <c r="E257" s="122">
        <f t="shared" si="62"/>
        <v>0.79855001055817554</v>
      </c>
      <c r="F257" s="44">
        <v>76359.604000000007</v>
      </c>
      <c r="G257" s="44">
        <v>21950.445</v>
      </c>
      <c r="H257" s="92">
        <v>3.6289900541305542E-2</v>
      </c>
      <c r="I257" s="101">
        <f t="shared" si="60"/>
        <v>402516.36235979781</v>
      </c>
      <c r="J257" s="94">
        <v>0.52299499999999999</v>
      </c>
      <c r="K257" s="95">
        <f t="shared" si="56"/>
        <v>5.2299499999999995E-4</v>
      </c>
      <c r="L257" s="96">
        <v>0.6</v>
      </c>
      <c r="M257" s="104">
        <f t="shared" si="57"/>
        <v>6.4699227062443851</v>
      </c>
      <c r="N257" s="104">
        <f t="shared" si="58"/>
        <v>645.4338370317314</v>
      </c>
      <c r="O257" s="105">
        <v>620.64287923180473</v>
      </c>
      <c r="P257" s="105">
        <v>0.54982786702885444</v>
      </c>
      <c r="Q257" s="104">
        <f t="shared" si="59"/>
        <v>11.234062242282951</v>
      </c>
      <c r="R257" s="106">
        <f t="shared" si="53"/>
        <v>75664.338778698584</v>
      </c>
      <c r="S257" s="107">
        <v>75500.270971081904</v>
      </c>
      <c r="T257" s="104"/>
      <c r="U257" s="104">
        <f t="shared" si="54"/>
        <v>0.91888098478587477</v>
      </c>
      <c r="V257" s="104">
        <f t="shared" si="55"/>
        <v>1.1381853573045442</v>
      </c>
    </row>
    <row r="258" spans="1:22">
      <c r="A258" s="44" t="s">
        <v>78</v>
      </c>
      <c r="B258" s="90">
        <v>70626</v>
      </c>
      <c r="C258" s="123">
        <f t="shared" si="61"/>
        <v>9.4298109699411325E-2</v>
      </c>
      <c r="D258" s="90">
        <v>11912</v>
      </c>
      <c r="E258" s="122">
        <f t="shared" si="62"/>
        <v>7.2573383756528109E-2</v>
      </c>
      <c r="F258" s="44">
        <v>76358.054000000004</v>
      </c>
      <c r="G258" s="44">
        <v>12522.776</v>
      </c>
      <c r="H258" s="92">
        <v>3.584299236536026E-2</v>
      </c>
      <c r="I258" s="101">
        <f t="shared" si="60"/>
        <v>400611.74745680299</v>
      </c>
      <c r="J258" s="94">
        <v>0.54525299999999999</v>
      </c>
      <c r="K258" s="95">
        <f t="shared" si="56"/>
        <v>5.4525299999999999E-4</v>
      </c>
      <c r="L258" s="96">
        <v>0.6</v>
      </c>
      <c r="M258" s="104">
        <f t="shared" si="57"/>
        <v>6.4467928055038533</v>
      </c>
      <c r="N258" s="104">
        <f t="shared" si="58"/>
        <v>630.67634404350861</v>
      </c>
      <c r="O258" s="105">
        <v>625.33197703474377</v>
      </c>
      <c r="P258" s="108">
        <v>0.55172555425790359</v>
      </c>
      <c r="Q258" s="104">
        <f t="shared" si="59"/>
        <v>11.241759158155769</v>
      </c>
      <c r="R258" s="106">
        <f t="shared" si="53"/>
        <v>76248.967863051672</v>
      </c>
      <c r="S258" s="109">
        <v>76364.685484049041</v>
      </c>
      <c r="T258" s="110"/>
      <c r="U258" s="104">
        <f t="shared" si="54"/>
        <v>0.14306572273117268</v>
      </c>
      <c r="V258" s="104">
        <f t="shared" si="55"/>
        <v>-8.6839669501737049E-3</v>
      </c>
    </row>
    <row r="259" spans="1:22">
      <c r="A259" s="44" t="s">
        <v>79</v>
      </c>
      <c r="B259" s="90">
        <v>77089</v>
      </c>
      <c r="C259" s="123">
        <f t="shared" si="61"/>
        <v>0.10666245567694044</v>
      </c>
      <c r="D259" s="90">
        <v>24351</v>
      </c>
      <c r="E259" s="122">
        <f t="shared" si="62"/>
        <v>0.36252238137869286</v>
      </c>
      <c r="F259" s="44">
        <v>78211.346999999994</v>
      </c>
      <c r="G259" s="44">
        <v>23229.764999999999</v>
      </c>
      <c r="H259" s="92">
        <v>3.584299236536026E-2</v>
      </c>
      <c r="I259" s="101">
        <f t="shared" si="60"/>
        <v>409482.3886512352</v>
      </c>
      <c r="J259" s="94">
        <v>0.54525299999999999</v>
      </c>
      <c r="K259" s="95">
        <f t="shared" si="56"/>
        <v>5.4525299999999999E-4</v>
      </c>
      <c r="L259" s="96">
        <v>0.6</v>
      </c>
      <c r="M259" s="104">
        <f t="shared" si="57"/>
        <v>6.462013571662732</v>
      </c>
      <c r="N259" s="104">
        <f t="shared" si="58"/>
        <v>640.34914820101005</v>
      </c>
      <c r="O259" s="105">
        <v>629.79399347181777</v>
      </c>
      <c r="P259" s="108">
        <v>0.5540290230680841</v>
      </c>
      <c r="Q259" s="104">
        <f t="shared" si="59"/>
        <v>11.260129517941024</v>
      </c>
      <c r="R259" s="106">
        <f t="shared" si="53"/>
        <v>77662.633856798653</v>
      </c>
      <c r="S259" s="109">
        <v>77254.624189789727</v>
      </c>
      <c r="T259" s="110"/>
      <c r="U259" s="104">
        <f t="shared" si="54"/>
        <v>0.70653429577614002</v>
      </c>
      <c r="V259" s="104">
        <f t="shared" si="55"/>
        <v>1.2384019989015949</v>
      </c>
    </row>
    <row r="260" spans="1:22">
      <c r="A260" s="44" t="s">
        <v>80</v>
      </c>
      <c r="B260" s="90">
        <v>76410</v>
      </c>
      <c r="C260" s="123">
        <f t="shared" si="61"/>
        <v>2.1742618741976916E-2</v>
      </c>
      <c r="D260" s="90">
        <v>7793</v>
      </c>
      <c r="E260" s="122">
        <f t="shared" si="62"/>
        <v>-0.39612553273924833</v>
      </c>
      <c r="F260" s="44">
        <v>77748.350000000006</v>
      </c>
      <c r="G260" s="44">
        <v>11910.038</v>
      </c>
      <c r="H260" s="92">
        <v>3.584299236536026E-2</v>
      </c>
      <c r="I260" s="101">
        <f t="shared" si="60"/>
        <v>406715.35252105951</v>
      </c>
      <c r="J260" s="94">
        <v>0.54525299999999999</v>
      </c>
      <c r="K260" s="95">
        <f t="shared" si="56"/>
        <v>5.4525299999999999E-4</v>
      </c>
      <c r="L260" s="96">
        <v>0.6</v>
      </c>
      <c r="M260" s="104">
        <f t="shared" si="57"/>
        <v>6.4587882949868494</v>
      </c>
      <c r="N260" s="104">
        <f t="shared" si="58"/>
        <v>638.28717203816791</v>
      </c>
      <c r="O260" s="105">
        <v>634.00082824099843</v>
      </c>
      <c r="P260" s="108">
        <v>0.55671558705794078</v>
      </c>
      <c r="Q260" s="104">
        <f t="shared" si="59"/>
        <v>11.266977325791032</v>
      </c>
      <c r="R260" s="106">
        <f t="shared" si="53"/>
        <v>78196.277710539216</v>
      </c>
      <c r="S260" s="109">
        <v>78165.082207333908</v>
      </c>
      <c r="T260" s="110"/>
      <c r="U260" s="104">
        <f t="shared" si="54"/>
        <v>-0.57282485004889194</v>
      </c>
      <c r="V260" s="104">
        <f t="shared" si="55"/>
        <v>-0.53314369481313184</v>
      </c>
    </row>
    <row r="261" spans="1:22">
      <c r="A261" s="44" t="s">
        <v>81</v>
      </c>
      <c r="B261" s="90">
        <v>84322</v>
      </c>
      <c r="C261" s="123">
        <f t="shared" si="61"/>
        <v>-1.4354178842782006E-2</v>
      </c>
      <c r="D261" s="90">
        <v>17156</v>
      </c>
      <c r="E261" s="122">
        <f t="shared" si="62"/>
        <v>-0.32858484658735132</v>
      </c>
      <c r="F261" s="44">
        <v>78530.183999999994</v>
      </c>
      <c r="G261" s="44">
        <v>13409.782999999999</v>
      </c>
      <c r="H261" s="92">
        <v>3.584299236536026E-2</v>
      </c>
      <c r="I261" s="101">
        <f t="shared" si="60"/>
        <v>405547.24024577235</v>
      </c>
      <c r="J261" s="94">
        <v>0.54525299999999999</v>
      </c>
      <c r="K261" s="95">
        <f t="shared" si="56"/>
        <v>5.4525299999999999E-4</v>
      </c>
      <c r="L261" s="96">
        <v>0.6</v>
      </c>
      <c r="M261" s="104">
        <f t="shared" si="57"/>
        <v>6.4699445047276702</v>
      </c>
      <c r="N261" s="104">
        <f t="shared" si="58"/>
        <v>645.44790666378731</v>
      </c>
      <c r="O261" s="105">
        <v>637.93097801196336</v>
      </c>
      <c r="P261" s="108">
        <v>0.55975707481160086</v>
      </c>
      <c r="Q261" s="104">
        <f t="shared" si="59"/>
        <v>11.275275719752532</v>
      </c>
      <c r="R261" s="106">
        <f t="shared" si="53"/>
        <v>78847.881120912309</v>
      </c>
      <c r="S261" s="109">
        <v>79091.652607467899</v>
      </c>
      <c r="T261" s="110"/>
      <c r="U261" s="104">
        <f t="shared" si="54"/>
        <v>-0.4029241070221401</v>
      </c>
      <c r="V261" s="104">
        <f t="shared" si="55"/>
        <v>-0.7098961634478318</v>
      </c>
    </row>
    <row r="262" spans="1:22">
      <c r="A262" s="44" t="s">
        <v>82</v>
      </c>
      <c r="B262" s="90">
        <v>76991</v>
      </c>
      <c r="C262" s="123">
        <f t="shared" si="61"/>
        <v>9.0122617732846244E-2</v>
      </c>
      <c r="D262" s="90">
        <v>14856</v>
      </c>
      <c r="E262" s="122">
        <f t="shared" si="62"/>
        <v>0.24714573539288121</v>
      </c>
      <c r="F262" s="44">
        <v>80900.58</v>
      </c>
      <c r="G262" s="44">
        <v>15517.066999999999</v>
      </c>
      <c r="H262" s="92">
        <v>3.551970049738884E-2</v>
      </c>
      <c r="I262" s="101">
        <f t="shared" si="60"/>
        <v>406659.3907346999</v>
      </c>
      <c r="J262" s="94">
        <v>0.55970200000000003</v>
      </c>
      <c r="K262" s="95">
        <f t="shared" si="56"/>
        <v>5.5970200000000003E-4</v>
      </c>
      <c r="L262" s="96">
        <v>0.6</v>
      </c>
      <c r="M262" s="104">
        <f t="shared" si="57"/>
        <v>6.4828942457166452</v>
      </c>
      <c r="N262" s="104">
        <f t="shared" si="58"/>
        <v>653.86064369501969</v>
      </c>
      <c r="O262" s="105">
        <v>641.56561841926327</v>
      </c>
      <c r="P262" s="108">
        <v>0.56311815079628047</v>
      </c>
      <c r="Q262" s="104">
        <f t="shared" si="59"/>
        <v>11.285644474237964</v>
      </c>
      <c r="R262" s="106">
        <f t="shared" si="53"/>
        <v>79669.688639377637</v>
      </c>
      <c r="S262" s="109">
        <v>80029.66800334843</v>
      </c>
      <c r="T262" s="110"/>
      <c r="U262" s="104">
        <f t="shared" si="54"/>
        <v>1.5449933113131031</v>
      </c>
      <c r="V262" s="104">
        <f t="shared" si="55"/>
        <v>1.0882364232913444</v>
      </c>
    </row>
    <row r="263" spans="1:22">
      <c r="A263" s="44" t="s">
        <v>83</v>
      </c>
      <c r="B263" s="90">
        <v>79988</v>
      </c>
      <c r="C263" s="123">
        <f t="shared" si="61"/>
        <v>3.7605884107979159E-2</v>
      </c>
      <c r="D263" s="90">
        <v>19453</v>
      </c>
      <c r="E263" s="122">
        <f t="shared" si="62"/>
        <v>-0.20114163689376208</v>
      </c>
      <c r="F263" s="44">
        <v>80464.379000000001</v>
      </c>
      <c r="G263" s="44">
        <v>18747.953000000001</v>
      </c>
      <c r="H263" s="92">
        <v>3.551970049738884E-2</v>
      </c>
      <c r="I263" s="101">
        <f t="shared" si="60"/>
        <v>410962.92397135275</v>
      </c>
      <c r="J263" s="94">
        <v>0.56629300000000005</v>
      </c>
      <c r="K263" s="95">
        <f t="shared" si="56"/>
        <v>5.6629300000000005E-4</v>
      </c>
      <c r="L263" s="96">
        <v>0.6</v>
      </c>
      <c r="M263" s="104">
        <f t="shared" si="57"/>
        <v>6.4662527566709977</v>
      </c>
      <c r="N263" s="104">
        <f t="shared" si="58"/>
        <v>643.06946860702601</v>
      </c>
      <c r="O263" s="105">
        <v>644.89062317785658</v>
      </c>
      <c r="P263" s="105">
        <v>0.56675441443243857</v>
      </c>
      <c r="Q263" s="104">
        <f t="shared" si="59"/>
        <v>11.298886517627915</v>
      </c>
      <c r="R263" s="106">
        <f t="shared" si="53"/>
        <v>80731.694156108759</v>
      </c>
      <c r="S263" s="107">
        <v>80974.110090252594</v>
      </c>
      <c r="T263" s="104"/>
      <c r="U263" s="104">
        <f t="shared" si="54"/>
        <v>-0.33111550414370861</v>
      </c>
      <c r="V263" s="104">
        <f t="shared" si="55"/>
        <v>-0.6294988480694097</v>
      </c>
    </row>
    <row r="264" spans="1:22">
      <c r="A264" s="44" t="s">
        <v>84</v>
      </c>
      <c r="B264" s="90">
        <v>81024</v>
      </c>
      <c r="C264" s="123">
        <f t="shared" si="61"/>
        <v>6.0384766391833544E-2</v>
      </c>
      <c r="D264" s="90">
        <v>13147</v>
      </c>
      <c r="E264" s="122">
        <f t="shared" si="62"/>
        <v>0.68702681894007434</v>
      </c>
      <c r="F264" s="44">
        <v>81023.751000000004</v>
      </c>
      <c r="G264" s="44">
        <v>16947.458999999999</v>
      </c>
      <c r="H264" s="92">
        <v>3.551970049738884E-2</v>
      </c>
      <c r="I264" s="101">
        <f t="shared" si="60"/>
        <v>413313.10299635911</v>
      </c>
      <c r="J264" s="94">
        <v>0.57681300000000002</v>
      </c>
      <c r="K264" s="95">
        <f t="shared" si="56"/>
        <v>5.7681300000000002E-4</v>
      </c>
      <c r="L264" s="96">
        <v>0.6</v>
      </c>
      <c r="M264" s="104">
        <f t="shared" si="57"/>
        <v>6.4598556246292489</v>
      </c>
      <c r="N264" s="104">
        <f t="shared" si="58"/>
        <v>638.96879855263091</v>
      </c>
      <c r="O264" s="105">
        <v>647.89955039349888</v>
      </c>
      <c r="P264" s="105">
        <v>0.5706193300462864</v>
      </c>
      <c r="Q264" s="104">
        <f t="shared" si="59"/>
        <v>11.309900172407454</v>
      </c>
      <c r="R264" s="106">
        <f t="shared" si="53"/>
        <v>81625.759591803755</v>
      </c>
      <c r="S264" s="107">
        <v>81920.504883455375</v>
      </c>
      <c r="T264" s="111"/>
      <c r="U264" s="104">
        <f t="shared" si="54"/>
        <v>-0.73752280507316526</v>
      </c>
      <c r="V264" s="104">
        <f t="shared" si="55"/>
        <v>-1.0946635213383349</v>
      </c>
    </row>
    <row r="265" spans="1:22">
      <c r="A265" s="44" t="s">
        <v>85</v>
      </c>
      <c r="B265" s="90">
        <v>86289</v>
      </c>
      <c r="C265" s="123">
        <f t="shared" si="61"/>
        <v>2.33272455586917E-2</v>
      </c>
      <c r="D265" s="90">
        <v>19563</v>
      </c>
      <c r="E265" s="122">
        <f t="shared" si="62"/>
        <v>0.14030076941011882</v>
      </c>
      <c r="F265" s="44">
        <v>81639.581000000006</v>
      </c>
      <c r="G265" s="44">
        <v>15581.322</v>
      </c>
      <c r="H265" s="92">
        <v>3.551970049738884E-2</v>
      </c>
      <c r="I265" s="101">
        <f t="shared" si="60"/>
        <v>414213.66736628202</v>
      </c>
      <c r="J265" s="94">
        <v>0.57881000000000005</v>
      </c>
      <c r="K265" s="95">
        <f t="shared" si="56"/>
        <v>5.7881000000000002E-4</v>
      </c>
      <c r="L265" s="96">
        <v>0.6</v>
      </c>
      <c r="M265" s="104">
        <f t="shared" si="57"/>
        <v>6.4644831992036274</v>
      </c>
      <c r="N265" s="104">
        <f t="shared" si="58"/>
        <v>641.93252646572137</v>
      </c>
      <c r="O265" s="105">
        <v>650.58481995033901</v>
      </c>
      <c r="P265" s="105">
        <v>0.57466607358001487</v>
      </c>
      <c r="Q265" s="104">
        <f t="shared" si="59"/>
        <v>11.319146882062061</v>
      </c>
      <c r="R265" s="106">
        <f t="shared" si="53"/>
        <v>82384.029639802684</v>
      </c>
      <c r="S265" s="107">
        <v>82864.05981630036</v>
      </c>
      <c r="T265" s="111"/>
      <c r="U265" s="104">
        <f t="shared" si="54"/>
        <v>-0.90363222466482984</v>
      </c>
      <c r="V265" s="104">
        <f t="shared" si="55"/>
        <v>-1.4776959021979841</v>
      </c>
    </row>
    <row r="266" spans="1:22">
      <c r="A266" s="44" t="s">
        <v>86</v>
      </c>
      <c r="B266" s="90">
        <v>77365</v>
      </c>
      <c r="C266" s="123">
        <f t="shared" si="61"/>
        <v>4.857710641503532E-3</v>
      </c>
      <c r="D266" s="90">
        <v>15074</v>
      </c>
      <c r="E266" s="122">
        <f t="shared" si="62"/>
        <v>1.4674205708131494E-2</v>
      </c>
      <c r="F266" s="44">
        <v>82875.548999999999</v>
      </c>
      <c r="G266" s="44">
        <v>15739.691999999999</v>
      </c>
      <c r="H266" s="92">
        <v>3.5619623959064484E-2</v>
      </c>
      <c r="I266" s="101">
        <f t="shared" si="60"/>
        <v>415199.22429599002</v>
      </c>
      <c r="J266" s="94">
        <v>0.57930099999999995</v>
      </c>
      <c r="K266" s="95">
        <f t="shared" si="56"/>
        <v>5.7930099999999995E-4</v>
      </c>
      <c r="L266" s="96">
        <v>0.6</v>
      </c>
      <c r="M266" s="104">
        <f t="shared" si="57"/>
        <v>6.4780496996699988</v>
      </c>
      <c r="N266" s="104">
        <f t="shared" si="58"/>
        <v>650.70064625542852</v>
      </c>
      <c r="O266" s="105">
        <v>652.93327001262537</v>
      </c>
      <c r="P266" s="105">
        <v>0.57885169201953623</v>
      </c>
      <c r="Q266" s="104">
        <f t="shared" si="59"/>
        <v>11.328055043649364</v>
      </c>
      <c r="R266" s="106">
        <f t="shared" si="53"/>
        <v>83121.198422513655</v>
      </c>
      <c r="S266" s="107">
        <v>83799.421850953993</v>
      </c>
      <c r="T266" s="111"/>
      <c r="U266" s="104">
        <f t="shared" si="54"/>
        <v>-0.29553161789727111</v>
      </c>
      <c r="V266" s="104">
        <f t="shared" si="55"/>
        <v>-1.1024811753441388</v>
      </c>
    </row>
    <row r="267" spans="1:22">
      <c r="A267" s="44" t="s">
        <v>87</v>
      </c>
      <c r="B267" s="90">
        <v>83626</v>
      </c>
      <c r="C267" s="123">
        <f t="shared" si="61"/>
        <v>4.5481822273341077E-2</v>
      </c>
      <c r="D267" s="90">
        <v>12202</v>
      </c>
      <c r="E267" s="122">
        <f t="shared" si="62"/>
        <v>-0.37274456382049037</v>
      </c>
      <c r="F267" s="44">
        <v>84652.553</v>
      </c>
      <c r="G267" s="44">
        <v>12083.503000000001</v>
      </c>
      <c r="H267" s="92">
        <v>3.5619623959064484E-2</v>
      </c>
      <c r="I267" s="101">
        <f t="shared" si="60"/>
        <v>412493.4870584716</v>
      </c>
      <c r="J267" s="94">
        <v>0.58925399999999994</v>
      </c>
      <c r="K267" s="95">
        <f t="shared" si="56"/>
        <v>5.8925399999999999E-4</v>
      </c>
      <c r="L267" s="96">
        <v>0.6</v>
      </c>
      <c r="M267" s="104">
        <f t="shared" si="57"/>
        <v>6.4916590376527212</v>
      </c>
      <c r="N267" s="104">
        <f t="shared" si="58"/>
        <v>659.61678503317933</v>
      </c>
      <c r="O267" s="105">
        <v>654.92633106117853</v>
      </c>
      <c r="P267" s="105">
        <v>0.58313582230477501</v>
      </c>
      <c r="Q267" s="104">
        <f t="shared" si="59"/>
        <v>11.332911946879539</v>
      </c>
      <c r="R267" s="106">
        <f t="shared" si="53"/>
        <v>83525.892022912216</v>
      </c>
      <c r="S267" s="107">
        <v>84720.47265032251</v>
      </c>
      <c r="T267" s="111"/>
      <c r="U267" s="104">
        <f t="shared" si="54"/>
        <v>1.3488763182304409</v>
      </c>
      <c r="V267" s="104">
        <f t="shared" si="55"/>
        <v>-8.0169111665417958E-2</v>
      </c>
    </row>
    <row r="268" spans="1:22">
      <c r="A268" s="44" t="s">
        <v>88</v>
      </c>
      <c r="B268" s="90">
        <v>89439</v>
      </c>
      <c r="C268" s="123">
        <f t="shared" si="61"/>
        <v>0.10385811611374418</v>
      </c>
      <c r="D268" s="90">
        <v>20709</v>
      </c>
      <c r="E268" s="122">
        <f t="shared" si="62"/>
        <v>0.5751882558758652</v>
      </c>
      <c r="F268" s="44">
        <v>87574.404999999999</v>
      </c>
      <c r="G268" s="44">
        <v>24259.413</v>
      </c>
      <c r="H268" s="92">
        <v>3.5619623959064484E-2</v>
      </c>
      <c r="I268" s="101">
        <f t="shared" si="60"/>
        <v>422060.0371638856</v>
      </c>
      <c r="J268" s="94">
        <v>0.59832700000000005</v>
      </c>
      <c r="K268" s="95">
        <f t="shared" si="56"/>
        <v>5.9832700000000006E-4</v>
      </c>
      <c r="L268" s="96">
        <v>0.6</v>
      </c>
      <c r="M268" s="104">
        <f t="shared" si="57"/>
        <v>6.5072536244875065</v>
      </c>
      <c r="N268" s="104">
        <f t="shared" si="58"/>
        <v>669.98386130304596</v>
      </c>
      <c r="O268" s="105">
        <v>656.54403818697074</v>
      </c>
      <c r="P268" s="105">
        <v>0.58747838219314352</v>
      </c>
      <c r="Q268" s="104">
        <f t="shared" si="59"/>
        <v>11.349001414226663</v>
      </c>
      <c r="R268" s="106">
        <f t="shared" si="53"/>
        <v>84880.648565363022</v>
      </c>
      <c r="S268" s="107">
        <v>85620.516456780315</v>
      </c>
      <c r="T268" s="111"/>
      <c r="U268" s="104">
        <f t="shared" si="54"/>
        <v>3.1735813523651624</v>
      </c>
      <c r="V268" s="104">
        <f t="shared" si="55"/>
        <v>2.2820331201879318</v>
      </c>
    </row>
    <row r="269" spans="1:22">
      <c r="A269" s="44" t="s">
        <v>89</v>
      </c>
      <c r="B269" s="90">
        <v>94855</v>
      </c>
      <c r="C269" s="123">
        <f t="shared" si="61"/>
        <v>9.9271054247934254E-2</v>
      </c>
      <c r="D269" s="90">
        <v>27896</v>
      </c>
      <c r="E269" s="122">
        <f t="shared" si="62"/>
        <v>0.42595716403414619</v>
      </c>
      <c r="F269" s="44">
        <v>89283.724000000002</v>
      </c>
      <c r="G269" s="44">
        <v>23657.601999999999</v>
      </c>
      <c r="H269" s="92">
        <v>3.5619623959064484E-2</v>
      </c>
      <c r="I269" s="101">
        <f t="shared" si="60"/>
        <v>430684.01935195923</v>
      </c>
      <c r="J269" s="94">
        <v>0.59405399999999997</v>
      </c>
      <c r="K269" s="95">
        <f t="shared" si="56"/>
        <v>5.94054E-4</v>
      </c>
      <c r="L269" s="96">
        <v>0.6</v>
      </c>
      <c r="M269" s="104">
        <f t="shared" si="57"/>
        <v>6.5227935344280086</v>
      </c>
      <c r="N269" s="104">
        <f t="shared" si="58"/>
        <v>680.4766676449882</v>
      </c>
      <c r="O269" s="105">
        <v>657.76935801470677</v>
      </c>
      <c r="P269" s="105">
        <v>0.59184311330311379</v>
      </c>
      <c r="Q269" s="104">
        <f t="shared" si="59"/>
        <v>11.363398122408245</v>
      </c>
      <c r="R269" s="106">
        <f t="shared" si="53"/>
        <v>86111.489261048089</v>
      </c>
      <c r="S269" s="107">
        <v>86492.815062920359</v>
      </c>
      <c r="T269" s="111"/>
      <c r="U269" s="104">
        <f t="shared" si="54"/>
        <v>3.683869325886624</v>
      </c>
      <c r="V269" s="104">
        <f t="shared" si="55"/>
        <v>3.2267523435898893</v>
      </c>
    </row>
    <row r="270" spans="1:22">
      <c r="A270" s="44" t="s">
        <v>90</v>
      </c>
      <c r="B270" s="90">
        <v>83620</v>
      </c>
      <c r="C270" s="123">
        <f t="shared" si="61"/>
        <v>8.0850513798229162E-2</v>
      </c>
      <c r="D270" s="90">
        <v>20236</v>
      </c>
      <c r="E270" s="122">
        <f t="shared" si="62"/>
        <v>0.34244394321348026</v>
      </c>
      <c r="F270" s="44">
        <v>90018.323999999906</v>
      </c>
      <c r="G270" s="44">
        <v>20851.582999999999</v>
      </c>
      <c r="H270" s="92">
        <v>3.617728129029274E-2</v>
      </c>
      <c r="I270" s="101">
        <f t="shared" si="60"/>
        <v>435954.62543662952</v>
      </c>
      <c r="J270" s="94">
        <v>0.60059300000000004</v>
      </c>
      <c r="K270" s="95">
        <f t="shared" si="56"/>
        <v>6.0059300000000007E-4</v>
      </c>
      <c r="L270" s="96">
        <v>0.6</v>
      </c>
      <c r="M270" s="104">
        <f t="shared" si="57"/>
        <v>6.5195538169698111</v>
      </c>
      <c r="N270" s="104">
        <f t="shared" si="58"/>
        <v>678.27568271466021</v>
      </c>
      <c r="O270" s="105">
        <v>658.59365705853895</v>
      </c>
      <c r="P270" s="105">
        <v>0.59620053763928693</v>
      </c>
      <c r="Q270" s="104">
        <f t="shared" si="59"/>
        <v>11.373917200098548</v>
      </c>
      <c r="R270" s="106">
        <f t="shared" ref="R270:R301" si="63">EXP(Q270)</f>
        <v>87022.083616498538</v>
      </c>
      <c r="S270" s="107">
        <v>87331.851441675099</v>
      </c>
      <c r="T270" s="111"/>
      <c r="U270" s="104">
        <f t="shared" ref="U270:U301" si="64">(F270/R270-1)*100</f>
        <v>3.4430804905863033</v>
      </c>
      <c r="V270" s="104">
        <f t="shared" ref="V270:V301" si="65">(F270/S270-1)*100</f>
        <v>3.0761658134764058</v>
      </c>
    </row>
    <row r="271" spans="1:22">
      <c r="A271" s="44" t="s">
        <v>91</v>
      </c>
      <c r="B271" s="90">
        <v>91196</v>
      </c>
      <c r="C271" s="123">
        <f t="shared" si="61"/>
        <v>9.0522086432449189E-2</v>
      </c>
      <c r="D271" s="90">
        <v>24764</v>
      </c>
      <c r="E271" s="122">
        <f t="shared" si="62"/>
        <v>1.0295033601049006</v>
      </c>
      <c r="F271" s="44">
        <v>91726.915999999997</v>
      </c>
      <c r="G271" s="44">
        <v>24944.616000000002</v>
      </c>
      <c r="H271" s="92">
        <v>3.617728129029274E-2</v>
      </c>
      <c r="I271" s="101">
        <f t="shared" si="60"/>
        <v>445127.58832240436</v>
      </c>
      <c r="J271" s="94">
        <v>0.60712500000000003</v>
      </c>
      <c r="K271" s="95">
        <f t="shared" si="56"/>
        <v>6.0712500000000003E-4</v>
      </c>
      <c r="L271" s="96">
        <v>0.6</v>
      </c>
      <c r="M271" s="104">
        <f t="shared" si="57"/>
        <v>6.5235369903666856</v>
      </c>
      <c r="N271" s="104">
        <f t="shared" si="58"/>
        <v>680.98276017011574</v>
      </c>
      <c r="O271" s="105">
        <v>659.02249390113855</v>
      </c>
      <c r="P271" s="105">
        <v>0.60052255901044971</v>
      </c>
      <c r="Q271" s="104">
        <f t="shared" si="59"/>
        <v>11.387231118785767</v>
      </c>
      <c r="R271" s="106">
        <f t="shared" si="63"/>
        <v>88188.435691147199</v>
      </c>
      <c r="S271" s="107">
        <v>88133.852884062682</v>
      </c>
      <c r="T271" s="111"/>
      <c r="U271" s="104">
        <f t="shared" si="64"/>
        <v>4.012408521730948</v>
      </c>
      <c r="V271" s="104">
        <f t="shared" si="65"/>
        <v>4.0768251907287834</v>
      </c>
    </row>
    <row r="272" spans="1:22">
      <c r="A272" s="44" t="s">
        <v>92</v>
      </c>
      <c r="B272" s="90">
        <v>92996</v>
      </c>
      <c r="C272" s="123">
        <f t="shared" si="61"/>
        <v>3.9770122653428608E-2</v>
      </c>
      <c r="D272" s="90">
        <v>20779</v>
      </c>
      <c r="E272" s="122">
        <f t="shared" si="62"/>
        <v>3.3801728716982282E-3</v>
      </c>
      <c r="F272" s="44">
        <v>91858.523000000001</v>
      </c>
      <c r="G272" s="44">
        <v>24344.686000000002</v>
      </c>
      <c r="H272" s="92">
        <v>3.617728129029274E-2</v>
      </c>
      <c r="I272" s="101">
        <f t="shared" si="60"/>
        <v>453368.76834959508</v>
      </c>
      <c r="J272" s="94">
        <v>0.61980199999999996</v>
      </c>
      <c r="K272" s="95">
        <f t="shared" si="56"/>
        <v>6.1980199999999992E-4</v>
      </c>
      <c r="L272" s="96">
        <v>0.6</v>
      </c>
      <c r="M272" s="104">
        <f t="shared" si="57"/>
        <v>6.5052335504201597</v>
      </c>
      <c r="N272" s="104">
        <f t="shared" si="58"/>
        <v>668.63181036058609</v>
      </c>
      <c r="O272" s="105">
        <v>659.07372839121183</v>
      </c>
      <c r="P272" s="105">
        <v>0.60478382651436435</v>
      </c>
      <c r="Q272" s="104">
        <f t="shared" si="59"/>
        <v>11.398889342219382</v>
      </c>
      <c r="R272" s="106">
        <f t="shared" si="63"/>
        <v>89222.572565270326</v>
      </c>
      <c r="S272" s="107">
        <v>88896.725726450182</v>
      </c>
      <c r="T272" s="111"/>
      <c r="U272" s="104">
        <f t="shared" si="64"/>
        <v>2.9543537682702015</v>
      </c>
      <c r="V272" s="104">
        <f t="shared" si="65"/>
        <v>3.3317281928512799</v>
      </c>
    </row>
    <row r="273" spans="1:22">
      <c r="A273" s="44" t="s">
        <v>93</v>
      </c>
      <c r="B273" s="90">
        <v>96367</v>
      </c>
      <c r="C273" s="123">
        <f t="shared" si="61"/>
        <v>1.5940119129197239E-2</v>
      </c>
      <c r="D273" s="90">
        <v>27050</v>
      </c>
      <c r="E273" s="122">
        <f t="shared" si="62"/>
        <v>-3.0326928591912772E-2</v>
      </c>
      <c r="F273" s="44">
        <v>91080.034</v>
      </c>
      <c r="G273" s="44">
        <v>22653.378000000001</v>
      </c>
      <c r="H273" s="92">
        <v>3.617728129029274E-2</v>
      </c>
      <c r="I273" s="101">
        <f t="shared" si="60"/>
        <v>459620.49688877823</v>
      </c>
      <c r="J273" s="94">
        <v>0.608541</v>
      </c>
      <c r="K273" s="95">
        <f t="shared" si="56"/>
        <v>6.0854099999999999E-4</v>
      </c>
      <c r="L273" s="96">
        <v>0.6</v>
      </c>
      <c r="M273" s="104">
        <f t="shared" si="57"/>
        <v>6.502245919011699</v>
      </c>
      <c r="N273" s="104">
        <f t="shared" si="58"/>
        <v>666.63716607788376</v>
      </c>
      <c r="O273" s="105">
        <v>658.7789455438832</v>
      </c>
      <c r="P273" s="105">
        <v>0.60896311577441142</v>
      </c>
      <c r="Q273" s="104">
        <f t="shared" si="59"/>
        <v>11.408052060471009</v>
      </c>
      <c r="R273" s="106">
        <f t="shared" si="63"/>
        <v>90043.850683486191</v>
      </c>
      <c r="S273" s="107">
        <v>89620.621969652144</v>
      </c>
      <c r="T273" s="111"/>
      <c r="U273" s="104">
        <f t="shared" si="64"/>
        <v>1.150754114410435</v>
      </c>
      <c r="V273" s="104">
        <f t="shared" si="65"/>
        <v>1.6284332760400311</v>
      </c>
    </row>
    <row r="274" spans="1:22">
      <c r="A274" s="44" t="s">
        <v>94</v>
      </c>
      <c r="B274" s="90">
        <v>86104</v>
      </c>
      <c r="C274" s="123">
        <f t="shared" si="61"/>
        <v>2.9705812006696863E-2</v>
      </c>
      <c r="D274" s="90">
        <v>27871</v>
      </c>
      <c r="E274" s="122">
        <f t="shared" si="62"/>
        <v>0.37729788495750149</v>
      </c>
      <c r="F274" s="44">
        <v>90859.040999999997</v>
      </c>
      <c r="G274" s="44">
        <v>28329.859</v>
      </c>
      <c r="H274" s="92">
        <v>3.6745592951774597E-2</v>
      </c>
      <c r="I274" s="101">
        <f t="shared" si="60"/>
        <v>471061.3281978108</v>
      </c>
      <c r="J274" s="94">
        <v>0.61818899999999999</v>
      </c>
      <c r="K274" s="95">
        <f t="shared" si="56"/>
        <v>6.18189E-4</v>
      </c>
      <c r="L274" s="96">
        <v>0.6</v>
      </c>
      <c r="M274" s="104">
        <f t="shared" si="57"/>
        <v>6.4805437811761601</v>
      </c>
      <c r="N274" s="104">
        <f t="shared" si="58"/>
        <v>652.32557220987428</v>
      </c>
      <c r="O274" s="105">
        <v>658.17570417550792</v>
      </c>
      <c r="P274" s="105">
        <v>0.61304858877240009</v>
      </c>
      <c r="Q274" s="104">
        <f t="shared" si="59"/>
        <v>11.420982703135554</v>
      </c>
      <c r="R274" s="106">
        <f t="shared" si="63"/>
        <v>91215.735826458549</v>
      </c>
      <c r="S274" s="107">
        <v>90307.54473777907</v>
      </c>
      <c r="T274" s="111"/>
      <c r="U274" s="104">
        <f t="shared" si="64"/>
        <v>-0.39104527659260535</v>
      </c>
      <c r="V274" s="104">
        <f t="shared" si="65"/>
        <v>0.61068680786557916</v>
      </c>
    </row>
    <row r="275" spans="1:22">
      <c r="A275" s="44" t="s">
        <v>95</v>
      </c>
      <c r="B275" s="90">
        <v>89708</v>
      </c>
      <c r="C275" s="123">
        <f t="shared" si="61"/>
        <v>-1.6316505109873258E-2</v>
      </c>
      <c r="D275" s="90">
        <v>22763</v>
      </c>
      <c r="E275" s="122">
        <f t="shared" si="62"/>
        <v>-8.0802778226457761E-2</v>
      </c>
      <c r="F275" s="44">
        <v>91064.790999999997</v>
      </c>
      <c r="G275" s="44">
        <v>23241.116999999998</v>
      </c>
      <c r="H275" s="92">
        <v>3.6745592951774597E-2</v>
      </c>
      <c r="I275" s="101">
        <f t="shared" si="60"/>
        <v>476993.01737653173</v>
      </c>
      <c r="J275" s="94">
        <v>0.63615600000000005</v>
      </c>
      <c r="K275" s="95">
        <f t="shared" si="56"/>
        <v>6.3615600000000003E-4</v>
      </c>
      <c r="L275" s="96">
        <v>0.6</v>
      </c>
      <c r="M275" s="104">
        <f t="shared" si="57"/>
        <v>6.4606105463302264</v>
      </c>
      <c r="N275" s="104">
        <f t="shared" si="58"/>
        <v>639.45135208705574</v>
      </c>
      <c r="O275" s="105">
        <v>657.30647449027481</v>
      </c>
      <c r="P275" s="105">
        <v>0.61702814366778025</v>
      </c>
      <c r="Q275" s="104">
        <f t="shared" si="59"/>
        <v>11.428548852370893</v>
      </c>
      <c r="R275" s="106">
        <f t="shared" si="63"/>
        <v>91908.505189638017</v>
      </c>
      <c r="S275" s="107">
        <v>90960.409287460425</v>
      </c>
      <c r="T275" s="111"/>
      <c r="U275" s="104">
        <f t="shared" si="64"/>
        <v>-0.91799359362569888</v>
      </c>
      <c r="V275" s="104">
        <f t="shared" si="65"/>
        <v>0.11475510428904379</v>
      </c>
    </row>
    <row r="276" spans="1:22">
      <c r="A276" s="44" t="s">
        <v>96</v>
      </c>
      <c r="B276" s="90">
        <v>89512</v>
      </c>
      <c r="C276" s="123">
        <f t="shared" si="61"/>
        <v>-3.7463976945244948E-2</v>
      </c>
      <c r="D276" s="90">
        <v>13576</v>
      </c>
      <c r="E276" s="122">
        <f t="shared" si="62"/>
        <v>-0.34664805813561772</v>
      </c>
      <c r="F276" s="44">
        <v>90050.447</v>
      </c>
      <c r="G276" s="44">
        <v>17133.578000000001</v>
      </c>
      <c r="H276" s="92">
        <v>3.6745592951774597E-2</v>
      </c>
      <c r="I276" s="101">
        <f t="shared" si="60"/>
        <v>476599.20411917492</v>
      </c>
      <c r="J276" s="94">
        <v>0.64254100000000003</v>
      </c>
      <c r="K276" s="95">
        <f t="shared" si="56"/>
        <v>6.4254100000000005E-4</v>
      </c>
      <c r="L276" s="96">
        <v>0.6</v>
      </c>
      <c r="M276" s="104">
        <f t="shared" si="57"/>
        <v>6.4437476356195091</v>
      </c>
      <c r="N276" s="104">
        <f t="shared" si="58"/>
        <v>628.75874861761088</v>
      </c>
      <c r="O276" s="105">
        <v>656.21007035989419</v>
      </c>
      <c r="P276" s="105">
        <v>0.6208928913770192</v>
      </c>
      <c r="Q276" s="104">
        <f t="shared" si="59"/>
        <v>11.430295422634492</v>
      </c>
      <c r="R276" s="106">
        <f t="shared" si="63"/>
        <v>92069.170117224057</v>
      </c>
      <c r="S276" s="107">
        <v>91582.475560489547</v>
      </c>
      <c r="T276" s="111"/>
      <c r="U276" s="104">
        <f t="shared" si="64"/>
        <v>-2.1926157416796377</v>
      </c>
      <c r="V276" s="104">
        <f t="shared" si="65"/>
        <v>-1.6728403017208793</v>
      </c>
    </row>
    <row r="277" spans="1:22">
      <c r="A277" s="44" t="s">
        <v>97</v>
      </c>
      <c r="B277" s="90">
        <v>97549</v>
      </c>
      <c r="C277" s="123">
        <f t="shared" si="61"/>
        <v>1.2265609596646243E-2</v>
      </c>
      <c r="D277" s="90">
        <v>28070</v>
      </c>
      <c r="E277" s="122">
        <f t="shared" si="62"/>
        <v>3.7707948243992595E-2</v>
      </c>
      <c r="F277" s="44">
        <v>92857.063999999998</v>
      </c>
      <c r="G277" s="44">
        <v>23435.721000000001</v>
      </c>
      <c r="H277" s="92">
        <v>3.6745592951774597E-2</v>
      </c>
      <c r="I277" s="101">
        <f t="shared" si="60"/>
        <v>482522.00476347201</v>
      </c>
      <c r="J277" s="94">
        <v>0.62272000000000005</v>
      </c>
      <c r="K277" s="95">
        <f t="shared" si="56"/>
        <v>6.2272E-4</v>
      </c>
      <c r="L277" s="96">
        <v>0.6</v>
      </c>
      <c r="M277" s="104">
        <f t="shared" si="57"/>
        <v>6.4882989014606371</v>
      </c>
      <c r="N277" s="104">
        <f t="shared" si="58"/>
        <v>657.40410234034232</v>
      </c>
      <c r="O277" s="105">
        <v>654.91414620457454</v>
      </c>
      <c r="P277" s="105">
        <v>0.62464589772679191</v>
      </c>
      <c r="Q277" s="104">
        <f t="shared" si="59"/>
        <v>11.436874662262461</v>
      </c>
      <c r="R277" s="106">
        <f t="shared" si="63"/>
        <v>92676.912298248324</v>
      </c>
      <c r="S277" s="107">
        <v>92177.068737230147</v>
      </c>
      <c r="T277" s="111"/>
      <c r="U277" s="104">
        <f t="shared" si="64"/>
        <v>0.19438681898671373</v>
      </c>
      <c r="V277" s="104">
        <f t="shared" si="65"/>
        <v>0.73770545330349435</v>
      </c>
    </row>
    <row r="278" spans="1:22">
      <c r="A278" s="44" t="s">
        <v>98</v>
      </c>
      <c r="B278" s="90">
        <v>90878</v>
      </c>
      <c r="C278" s="123">
        <f t="shared" si="61"/>
        <v>5.5444578649075593E-2</v>
      </c>
      <c r="D278" s="90">
        <v>18500</v>
      </c>
      <c r="E278" s="122">
        <f t="shared" si="62"/>
        <v>-0.3362276201069212</v>
      </c>
      <c r="F278" s="44">
        <v>93680.103000000003</v>
      </c>
      <c r="G278" s="44">
        <v>19016.317999999999</v>
      </c>
      <c r="H278" s="92">
        <v>3.7041850388050079E-2</v>
      </c>
      <c r="I278" s="101">
        <f t="shared" si="60"/>
        <v>483664.81485408149</v>
      </c>
      <c r="J278" s="94">
        <v>0.61596200000000001</v>
      </c>
      <c r="K278" s="95">
        <f t="shared" si="56"/>
        <v>6.1596200000000006E-4</v>
      </c>
      <c r="L278" s="96">
        <v>0.6</v>
      </c>
      <c r="M278" s="104">
        <f t="shared" si="57"/>
        <v>6.5027241353584841</v>
      </c>
      <c r="N278" s="104">
        <f t="shared" si="58"/>
        <v>666.95603910714726</v>
      </c>
      <c r="O278" s="105">
        <v>653.42919936843521</v>
      </c>
      <c r="P278" s="105">
        <v>0.62830375861166277</v>
      </c>
      <c r="Q278" s="104">
        <f t="shared" si="59"/>
        <v>11.439054229878234</v>
      </c>
      <c r="R278" s="106">
        <f t="shared" si="63"/>
        <v>92879.128186571761</v>
      </c>
      <c r="S278" s="107">
        <v>92746.556480195606</v>
      </c>
      <c r="T278" s="111"/>
      <c r="U278" s="104">
        <f t="shared" si="64"/>
        <v>0.86238407817444962</v>
      </c>
      <c r="V278" s="104">
        <f t="shared" si="65"/>
        <v>1.006556529140501</v>
      </c>
    </row>
    <row r="279" spans="1:22">
      <c r="A279" s="44" t="s">
        <v>99</v>
      </c>
      <c r="B279" s="90">
        <v>91270</v>
      </c>
      <c r="C279" s="123">
        <f t="shared" si="61"/>
        <v>1.7412047977883871E-2</v>
      </c>
      <c r="D279" s="90">
        <v>20809</v>
      </c>
      <c r="E279" s="122">
        <f t="shared" si="62"/>
        <v>-8.5841057857048764E-2</v>
      </c>
      <c r="F279" s="44">
        <v>92886.164000000004</v>
      </c>
      <c r="G279" s="44">
        <v>21615.471000000001</v>
      </c>
      <c r="H279" s="92">
        <v>3.7041850388050079E-2</v>
      </c>
      <c r="I279" s="101">
        <f t="shared" si="60"/>
        <v>487364.44614429265</v>
      </c>
      <c r="J279" s="94">
        <v>0.62712900000000005</v>
      </c>
      <c r="K279" s="95">
        <f t="shared" si="56"/>
        <v>6.2712900000000003E-4</v>
      </c>
      <c r="L279" s="96">
        <v>0.6</v>
      </c>
      <c r="M279" s="104">
        <f t="shared" si="57"/>
        <v>6.4803848014774204</v>
      </c>
      <c r="N279" s="104">
        <f t="shared" si="58"/>
        <v>652.22187393010313</v>
      </c>
      <c r="O279" s="105">
        <v>651.76728341818057</v>
      </c>
      <c r="P279" s="105">
        <v>0.63188186624011689</v>
      </c>
      <c r="Q279" s="104">
        <f t="shared" si="59"/>
        <v>11.442962865877568</v>
      </c>
      <c r="R279" s="106">
        <f t="shared" si="63"/>
        <v>93242.869293294832</v>
      </c>
      <c r="S279" s="107">
        <v>93293.731448938561</v>
      </c>
      <c r="T279" s="111"/>
      <c r="U279" s="104">
        <f t="shared" si="64"/>
        <v>-0.38255503718231942</v>
      </c>
      <c r="V279" s="104">
        <f t="shared" si="65"/>
        <v>-0.43686477387993028</v>
      </c>
    </row>
    <row r="280" spans="1:22">
      <c r="A280" s="44" t="s">
        <v>100</v>
      </c>
      <c r="B280" s="90">
        <v>97119</v>
      </c>
      <c r="C280" s="123">
        <f t="shared" si="61"/>
        <v>8.4983019036553697E-2</v>
      </c>
      <c r="D280" s="90">
        <v>21342</v>
      </c>
      <c r="E280" s="122">
        <f t="shared" si="62"/>
        <v>0.57203889216264003</v>
      </c>
      <c r="F280" s="44">
        <v>95663.659</v>
      </c>
      <c r="G280" s="44">
        <v>24654.826000000001</v>
      </c>
      <c r="H280" s="92">
        <v>3.7041850388050079E-2</v>
      </c>
      <c r="I280" s="101">
        <f t="shared" si="60"/>
        <v>493966.3912457609</v>
      </c>
      <c r="J280" s="94">
        <v>0.64877300000000004</v>
      </c>
      <c r="K280" s="95">
        <f t="shared" si="56"/>
        <v>6.4877300000000006E-4</v>
      </c>
      <c r="L280" s="96">
        <v>0.6</v>
      </c>
      <c r="M280" s="104">
        <f t="shared" si="57"/>
        <v>6.4841080979809513</v>
      </c>
      <c r="N280" s="104">
        <f t="shared" si="58"/>
        <v>654.65481582421467</v>
      </c>
      <c r="O280" s="105">
        <v>649.94890619535181</v>
      </c>
      <c r="P280" s="105">
        <v>0.63538789922150718</v>
      </c>
      <c r="Q280" s="104">
        <f t="shared" si="59"/>
        <v>11.448871096917422</v>
      </c>
      <c r="R280" s="106">
        <f t="shared" si="63"/>
        <v>93795.400341167478</v>
      </c>
      <c r="S280" s="107">
        <v>93821.969769586518</v>
      </c>
      <c r="T280" s="111"/>
      <c r="U280" s="104">
        <f t="shared" si="64"/>
        <v>1.9918446448727645</v>
      </c>
      <c r="V280" s="104">
        <f t="shared" si="65"/>
        <v>1.9629615909113829</v>
      </c>
    </row>
    <row r="281" spans="1:22">
      <c r="A281" s="44" t="s">
        <v>101</v>
      </c>
      <c r="B281" s="90">
        <v>95795</v>
      </c>
      <c r="C281" s="123">
        <f t="shared" si="61"/>
        <v>-1.7980707131800444E-2</v>
      </c>
      <c r="D281" s="90">
        <v>28116</v>
      </c>
      <c r="E281" s="122">
        <f t="shared" si="62"/>
        <v>1.6387602422516245E-3</v>
      </c>
      <c r="F281" s="44">
        <v>93793.774000000005</v>
      </c>
      <c r="G281" s="44">
        <v>23370.639999999999</v>
      </c>
      <c r="H281" s="92">
        <v>3.7041850388050079E-2</v>
      </c>
      <c r="I281" s="101">
        <f t="shared" si="60"/>
        <v>499039.60208451044</v>
      </c>
      <c r="J281" s="94">
        <v>0.65955699999999995</v>
      </c>
      <c r="K281" s="95">
        <f t="shared" si="56"/>
        <v>6.5955699999999996E-4</v>
      </c>
      <c r="L281" s="96">
        <v>0.6</v>
      </c>
      <c r="M281" s="104">
        <f t="shared" si="57"/>
        <v>6.4503895926010468</v>
      </c>
      <c r="N281" s="104">
        <f t="shared" si="58"/>
        <v>632.94883696696922</v>
      </c>
      <c r="O281" s="105">
        <v>647.99485966056011</v>
      </c>
      <c r="P281" s="105">
        <v>0.63882656562378659</v>
      </c>
      <c r="Q281" s="104">
        <f t="shared" si="59"/>
        <v>11.453185691443796</v>
      </c>
      <c r="R281" s="106">
        <f t="shared" si="63"/>
        <v>94200.963753763994</v>
      </c>
      <c r="S281" s="107">
        <v>94334.392838611413</v>
      </c>
      <c r="T281" s="111"/>
      <c r="U281" s="104">
        <f t="shared" si="64"/>
        <v>-0.43225646271344287</v>
      </c>
      <c r="V281" s="104">
        <f t="shared" si="65"/>
        <v>-0.57308773856880046</v>
      </c>
    </row>
    <row r="282" spans="1:22">
      <c r="A282" s="44" t="s">
        <v>102</v>
      </c>
      <c r="B282" s="90">
        <v>91638</v>
      </c>
      <c r="C282" s="123">
        <f t="shared" si="61"/>
        <v>8.3628600981535683E-3</v>
      </c>
      <c r="D282" s="90">
        <v>28383</v>
      </c>
      <c r="E282" s="122">
        <f t="shared" si="62"/>
        <v>0.53421621621621629</v>
      </c>
      <c r="F282" s="44">
        <v>95411.384999999995</v>
      </c>
      <c r="G282" s="44">
        <v>28903.742999999999</v>
      </c>
      <c r="H282" s="92">
        <v>3.7157196551561356E-2</v>
      </c>
      <c r="I282" s="101">
        <f t="shared" si="60"/>
        <v>509400.43250284332</v>
      </c>
      <c r="J282" s="94">
        <v>0.64957500000000001</v>
      </c>
      <c r="K282" s="95">
        <f t="shared" si="56"/>
        <v>6.49575E-4</v>
      </c>
      <c r="L282" s="96">
        <v>0.6</v>
      </c>
      <c r="M282" s="104">
        <f t="shared" si="57"/>
        <v>6.4684194993684443</v>
      </c>
      <c r="N282" s="104">
        <f t="shared" si="58"/>
        <v>644.46434530581246</v>
      </c>
      <c r="O282" s="105">
        <v>645.92887696793468</v>
      </c>
      <c r="P282" s="105">
        <v>0.64221093920289452</v>
      </c>
      <c r="Q282" s="104">
        <f t="shared" si="59"/>
        <v>11.461382198263994</v>
      </c>
      <c r="R282" s="106">
        <f t="shared" si="63"/>
        <v>94976.255597570344</v>
      </c>
      <c r="S282" s="107">
        <v>94835.273108254187</v>
      </c>
      <c r="T282" s="111"/>
      <c r="U282" s="104">
        <f t="shared" si="64"/>
        <v>0.45814545929601103</v>
      </c>
      <c r="V282" s="104">
        <f t="shared" si="65"/>
        <v>0.60748693272405507</v>
      </c>
    </row>
    <row r="283" spans="1:22">
      <c r="A283" s="44" t="s">
        <v>103</v>
      </c>
      <c r="B283" s="90">
        <v>96665</v>
      </c>
      <c r="C283" s="123">
        <f t="shared" si="61"/>
        <v>5.9110331982031417E-2</v>
      </c>
      <c r="D283" s="90">
        <v>21412</v>
      </c>
      <c r="E283" s="122">
        <f t="shared" si="62"/>
        <v>2.8977846124273121E-2</v>
      </c>
      <c r="F283" s="44">
        <v>96250.036999999997</v>
      </c>
      <c r="G283" s="44">
        <v>22511.743999999999</v>
      </c>
      <c r="H283" s="92">
        <v>3.7157196551561356E-2</v>
      </c>
      <c r="I283" s="101">
        <f t="shared" si="60"/>
        <v>512984.28450888483</v>
      </c>
      <c r="J283" s="94">
        <v>0.64280899999999996</v>
      </c>
      <c r="K283" s="95">
        <f t="shared" si="56"/>
        <v>6.4280899999999994E-4</v>
      </c>
      <c r="L283" s="96">
        <v>0.6</v>
      </c>
      <c r="M283" s="104">
        <f t="shared" si="57"/>
        <v>6.4806490272696626</v>
      </c>
      <c r="N283" s="104">
        <f t="shared" si="58"/>
        <v>652.39423054098825</v>
      </c>
      <c r="O283" s="105">
        <v>643.76528750742125</v>
      </c>
      <c r="P283" s="105">
        <v>0.6455670502362556</v>
      </c>
      <c r="Q283" s="104">
        <f t="shared" si="59"/>
        <v>11.463958674505221</v>
      </c>
      <c r="R283" s="106">
        <f t="shared" si="63"/>
        <v>95221.275171612448</v>
      </c>
      <c r="S283" s="107">
        <v>95328.545143981653</v>
      </c>
      <c r="T283" s="111"/>
      <c r="U283" s="104">
        <f t="shared" si="64"/>
        <v>1.0803907283676528</v>
      </c>
      <c r="V283" s="104">
        <f t="shared" si="65"/>
        <v>0.96664839962317117</v>
      </c>
    </row>
    <row r="284" spans="1:22">
      <c r="A284" s="44" t="s">
        <v>104</v>
      </c>
      <c r="B284" s="90">
        <v>96417</v>
      </c>
      <c r="C284" s="123">
        <f t="shared" si="61"/>
        <v>-7.2282457603558559E-3</v>
      </c>
      <c r="D284" s="90">
        <v>24394</v>
      </c>
      <c r="E284" s="122">
        <f t="shared" si="62"/>
        <v>0.14300440446068774</v>
      </c>
      <c r="F284" s="44">
        <v>95410.034</v>
      </c>
      <c r="G284" s="44">
        <v>27518.837</v>
      </c>
      <c r="H284" s="92">
        <v>3.7157196551561356E-2</v>
      </c>
      <c r="I284" s="101">
        <f t="shared" si="60"/>
        <v>521442.06362152612</v>
      </c>
      <c r="J284" s="94">
        <v>0.648617</v>
      </c>
      <c r="K284" s="95">
        <f t="shared" si="56"/>
        <v>6.4861699999999999E-4</v>
      </c>
      <c r="L284" s="96">
        <v>0.6</v>
      </c>
      <c r="M284" s="104">
        <f t="shared" si="57"/>
        <v>6.459945374551725</v>
      </c>
      <c r="N284" s="104">
        <f t="shared" si="58"/>
        <v>639.02614852630506</v>
      </c>
      <c r="O284" s="105">
        <v>641.51750533667666</v>
      </c>
      <c r="P284" s="105">
        <v>0.64892553153929255</v>
      </c>
      <c r="Q284" s="104">
        <f t="shared" si="59"/>
        <v>11.470115465106735</v>
      </c>
      <c r="R284" s="106">
        <f t="shared" si="63"/>
        <v>95809.341065332526</v>
      </c>
      <c r="S284" s="107">
        <v>95818.50358119297</v>
      </c>
      <c r="T284" s="111"/>
      <c r="U284" s="104">
        <f t="shared" si="64"/>
        <v>-0.41677258281135332</v>
      </c>
      <c r="V284" s="104">
        <f t="shared" si="65"/>
        <v>-0.42629509533808063</v>
      </c>
    </row>
    <row r="285" spans="1:22">
      <c r="A285" s="44" t="s">
        <v>105</v>
      </c>
      <c r="B285" s="90">
        <v>99117</v>
      </c>
      <c r="C285" s="123">
        <f t="shared" si="61"/>
        <v>3.4678219113732478E-2</v>
      </c>
      <c r="D285" s="90">
        <v>30492</v>
      </c>
      <c r="E285" s="122">
        <f t="shared" si="62"/>
        <v>8.4507042253521236E-2</v>
      </c>
      <c r="F285" s="44">
        <v>96667.978000000003</v>
      </c>
      <c r="G285" s="44">
        <v>25582.664000000001</v>
      </c>
      <c r="H285" s="92">
        <v>3.7157196551561356E-2</v>
      </c>
      <c r="I285" s="101">
        <f t="shared" si="60"/>
        <v>527649.40237328934</v>
      </c>
      <c r="J285" s="94">
        <v>0.63934000000000002</v>
      </c>
      <c r="K285" s="95">
        <f t="shared" si="56"/>
        <v>6.3934000000000007E-4</v>
      </c>
      <c r="L285" s="96">
        <v>0.6</v>
      </c>
      <c r="M285" s="104">
        <f t="shared" si="57"/>
        <v>6.4769538769676966</v>
      </c>
      <c r="N285" s="104">
        <f t="shared" si="58"/>
        <v>649.98798426177029</v>
      </c>
      <c r="O285" s="105">
        <v>639.20433760275387</v>
      </c>
      <c r="P285" s="105">
        <v>0.65231529214603057</v>
      </c>
      <c r="Q285" s="104">
        <f t="shared" si="59"/>
        <v>11.474362758789425</v>
      </c>
      <c r="R285" s="106">
        <f t="shared" si="63"/>
        <v>96217.136875630487</v>
      </c>
      <c r="S285" s="107">
        <v>96310.018987697316</v>
      </c>
      <c r="T285" s="111"/>
      <c r="U285" s="104">
        <f t="shared" si="64"/>
        <v>0.46856634795968688</v>
      </c>
      <c r="V285" s="104">
        <f t="shared" si="65"/>
        <v>0.3716737013087057</v>
      </c>
    </row>
    <row r="286" spans="1:22">
      <c r="A286" s="44" t="s">
        <v>106</v>
      </c>
      <c r="B286" s="90">
        <v>90713</v>
      </c>
      <c r="C286" s="123">
        <f t="shared" si="61"/>
        <v>-1.0094065780571371E-2</v>
      </c>
      <c r="D286" s="90">
        <v>28273</v>
      </c>
      <c r="E286" s="122">
        <f t="shared" si="62"/>
        <v>-3.875559313673671E-3</v>
      </c>
      <c r="F286" s="44">
        <v>95284.297000000006</v>
      </c>
      <c r="G286" s="44">
        <v>28994.116000000002</v>
      </c>
      <c r="H286" s="92">
        <v>3.7281032651662827E-2</v>
      </c>
      <c r="I286" s="101">
        <f t="shared" si="60"/>
        <v>536972.20377478038</v>
      </c>
      <c r="J286" s="94">
        <v>0.64366800000000002</v>
      </c>
      <c r="K286" s="95">
        <f t="shared" si="56"/>
        <v>6.4366800000000002E-4</v>
      </c>
      <c r="L286" s="96">
        <v>0.6</v>
      </c>
      <c r="M286" s="104">
        <f t="shared" si="57"/>
        <v>6.4514829858865834</v>
      </c>
      <c r="N286" s="104">
        <f t="shared" si="58"/>
        <v>633.64127746130578</v>
      </c>
      <c r="O286" s="105">
        <v>636.84303435469917</v>
      </c>
      <c r="P286" s="105">
        <v>0.65576504825828275</v>
      </c>
      <c r="Q286" s="104">
        <f t="shared" si="59"/>
        <v>11.480832227957752</v>
      </c>
      <c r="R286" s="106">
        <f t="shared" si="63"/>
        <v>96841.628562847152</v>
      </c>
      <c r="S286" s="107">
        <v>96807.706637815601</v>
      </c>
      <c r="T286" s="111"/>
      <c r="U286" s="104">
        <f t="shared" si="64"/>
        <v>-1.6081220297080034</v>
      </c>
      <c r="V286" s="104">
        <f t="shared" si="65"/>
        <v>-1.5736450027838078</v>
      </c>
    </row>
    <row r="287" spans="1:22">
      <c r="A287" s="44" t="s">
        <v>107</v>
      </c>
      <c r="B287" s="90">
        <v>97105</v>
      </c>
      <c r="C287" s="123">
        <f t="shared" si="61"/>
        <v>4.5518026172866044E-3</v>
      </c>
      <c r="D287" s="90">
        <v>27353</v>
      </c>
      <c r="E287" s="122">
        <f t="shared" si="62"/>
        <v>0.27746123668970668</v>
      </c>
      <c r="F287" s="44">
        <v>95894.523000000001</v>
      </c>
      <c r="G287" s="44">
        <v>28553.921999999999</v>
      </c>
      <c r="H287" s="92">
        <v>3.7281032651662827E-2</v>
      </c>
      <c r="I287" s="101">
        <f t="shared" si="60"/>
        <v>545507.2475128175</v>
      </c>
      <c r="J287" s="94">
        <v>0.6482</v>
      </c>
      <c r="K287" s="95">
        <f t="shared" si="56"/>
        <v>6.4820000000000003E-4</v>
      </c>
      <c r="L287" s="96">
        <v>0.6</v>
      </c>
      <c r="M287" s="104">
        <f t="shared" si="57"/>
        <v>6.4473491925641921</v>
      </c>
      <c r="N287" s="104">
        <f t="shared" si="58"/>
        <v>631.02734183685664</v>
      </c>
      <c r="O287" s="105">
        <v>634.45758542072076</v>
      </c>
      <c r="P287" s="105">
        <v>0.65929540652027085</v>
      </c>
      <c r="Q287" s="104">
        <f t="shared" si="59"/>
        <v>11.486608837681434</v>
      </c>
      <c r="R287" s="106">
        <f t="shared" si="63"/>
        <v>97402.663736572489</v>
      </c>
      <c r="S287" s="107">
        <v>97316.405530251446</v>
      </c>
      <c r="T287" s="111"/>
      <c r="U287" s="104">
        <f t="shared" si="64"/>
        <v>-1.5483567684055233</v>
      </c>
      <c r="V287" s="104">
        <f t="shared" si="65"/>
        <v>-1.4610923230301998</v>
      </c>
    </row>
    <row r="288" spans="1:22">
      <c r="A288" s="44" t="s">
        <v>108</v>
      </c>
      <c r="B288" s="90">
        <v>96710</v>
      </c>
      <c r="C288" s="123">
        <f t="shared" si="61"/>
        <v>3.0388831845007402E-3</v>
      </c>
      <c r="D288" s="90">
        <v>26566</v>
      </c>
      <c r="E288" s="122">
        <f t="shared" si="62"/>
        <v>8.9038288103632013E-2</v>
      </c>
      <c r="F288" s="44">
        <v>95829.338000000003</v>
      </c>
      <c r="G288" s="44">
        <v>29578.044999999998</v>
      </c>
      <c r="H288" s="92">
        <v>3.7281032651662827E-2</v>
      </c>
      <c r="I288" s="101">
        <f t="shared" si="60"/>
        <v>554748.21900657343</v>
      </c>
      <c r="J288" s="94">
        <v>0.65249800000000002</v>
      </c>
      <c r="K288" s="95">
        <f t="shared" si="56"/>
        <v>6.5249800000000005E-4</v>
      </c>
      <c r="L288" s="96">
        <v>0.6</v>
      </c>
      <c r="M288" s="104">
        <f t="shared" si="57"/>
        <v>6.4359846300634809</v>
      </c>
      <c r="N288" s="104">
        <f t="shared" si="58"/>
        <v>623.89658786700181</v>
      </c>
      <c r="O288" s="105">
        <v>632.06997953096857</v>
      </c>
      <c r="P288" s="105">
        <v>0.66291941292105527</v>
      </c>
      <c r="Q288" s="104">
        <f t="shared" si="59"/>
        <v>11.492846860067989</v>
      </c>
      <c r="R288" s="106">
        <f t="shared" si="63"/>
        <v>98012.162791397684</v>
      </c>
      <c r="S288" s="107">
        <v>97840.002532684812</v>
      </c>
      <c r="T288" s="111"/>
      <c r="U288" s="104">
        <f t="shared" si="64"/>
        <v>-2.2270958309974831</v>
      </c>
      <c r="V288" s="104">
        <f t="shared" si="65"/>
        <v>-2.0550536392444529</v>
      </c>
    </row>
    <row r="289" spans="1:22">
      <c r="A289" s="44" t="s">
        <v>109</v>
      </c>
      <c r="B289" s="90">
        <v>97558</v>
      </c>
      <c r="C289" s="123">
        <f t="shared" si="61"/>
        <v>-1.5728886063944625E-2</v>
      </c>
      <c r="D289" s="90">
        <v>33148</v>
      </c>
      <c r="E289" s="122">
        <f t="shared" si="62"/>
        <v>8.7104814377541695E-2</v>
      </c>
      <c r="F289" s="44">
        <v>96623.188999999998</v>
      </c>
      <c r="G289" s="44">
        <v>27974.598999999998</v>
      </c>
      <c r="H289" s="92">
        <v>3.7281032651662827E-2</v>
      </c>
      <c r="I289" s="101">
        <f t="shared" si="60"/>
        <v>562041.23154033767</v>
      </c>
      <c r="J289" s="94">
        <v>0.65784900000000002</v>
      </c>
      <c r="K289" s="95">
        <f t="shared" si="56"/>
        <v>6.5784900000000006E-4</v>
      </c>
      <c r="L289" s="96">
        <v>0.6</v>
      </c>
      <c r="M289" s="104">
        <f t="shared" si="57"/>
        <v>6.4341097607515847</v>
      </c>
      <c r="N289" s="104">
        <f t="shared" si="58"/>
        <v>622.72795915599079</v>
      </c>
      <c r="O289" s="105">
        <v>629.70006151335235</v>
      </c>
      <c r="P289" s="105">
        <v>0.66664317882062107</v>
      </c>
      <c r="Q289" s="104">
        <f t="shared" si="59"/>
        <v>11.497675605648654</v>
      </c>
      <c r="R289" s="106">
        <f t="shared" si="63"/>
        <v>98486.583094970949</v>
      </c>
      <c r="S289" s="107">
        <v>98381.49583621425</v>
      </c>
      <c r="T289" s="111"/>
      <c r="U289" s="104">
        <f t="shared" si="64"/>
        <v>-1.8920283722038245</v>
      </c>
      <c r="V289" s="104">
        <f t="shared" si="65"/>
        <v>-1.7872332812884695</v>
      </c>
    </row>
    <row r="290" spans="1:22">
      <c r="A290" s="44" t="s">
        <v>110</v>
      </c>
      <c r="B290" s="90">
        <v>93617</v>
      </c>
      <c r="C290" s="123">
        <f>B290/B286-1</f>
        <v>3.2013052153495147E-2</v>
      </c>
      <c r="D290" s="90">
        <v>21986</v>
      </c>
      <c r="E290" s="122">
        <f t="shared" si="62"/>
        <v>-0.22236762989424541</v>
      </c>
      <c r="F290" s="44">
        <v>97582.33</v>
      </c>
      <c r="G290" s="44">
        <v>22963.621999999999</v>
      </c>
      <c r="H290" s="92">
        <v>3.7492867559194565E-2</v>
      </c>
      <c r="I290" s="101">
        <f t="shared" si="60"/>
        <v>563932.3160833891</v>
      </c>
      <c r="J290" s="94">
        <v>0.66895700000000002</v>
      </c>
      <c r="K290" s="95">
        <f t="shared" si="56"/>
        <v>6.6895699999999997E-4</v>
      </c>
      <c r="L290" s="96">
        <v>0.6</v>
      </c>
      <c r="M290" s="104">
        <f t="shared" si="57"/>
        <v>6.4325972019690063</v>
      </c>
      <c r="N290" s="104">
        <f t="shared" si="58"/>
        <v>621.7867585023123</v>
      </c>
      <c r="O290" s="105">
        <v>627.36256782599207</v>
      </c>
      <c r="P290" s="105">
        <v>0.67046630219587766</v>
      </c>
      <c r="Q290" s="104">
        <f t="shared" si="59"/>
        <v>11.49873133698701</v>
      </c>
      <c r="R290" s="106">
        <f t="shared" si="63"/>
        <v>98590.613371501051</v>
      </c>
      <c r="S290" s="107">
        <v>98942.626966605385</v>
      </c>
      <c r="T290" s="111"/>
      <c r="U290" s="104">
        <f t="shared" si="64"/>
        <v>-1.0226971280741681</v>
      </c>
      <c r="V290" s="104">
        <f t="shared" si="65"/>
        <v>-1.3748340915432755</v>
      </c>
    </row>
    <row r="291" spans="1:22">
      <c r="A291" s="44" t="s">
        <v>111</v>
      </c>
      <c r="B291" s="90">
        <v>99844</v>
      </c>
      <c r="C291" s="123">
        <f t="shared" ref="C291:C329" si="66">B291/B287-1</f>
        <v>2.8206580505638179E-2</v>
      </c>
      <c r="D291" s="90">
        <v>29673</v>
      </c>
      <c r="E291" s="122">
        <f t="shared" si="62"/>
        <v>8.4817021898877742E-2</v>
      </c>
      <c r="F291" s="44">
        <v>97973.468999999997</v>
      </c>
      <c r="G291" s="44">
        <v>30995.16</v>
      </c>
      <c r="H291" s="92">
        <v>3.7492867559194565E-2</v>
      </c>
      <c r="I291" s="101">
        <f t="shared" si="60"/>
        <v>573784.03644412477</v>
      </c>
      <c r="J291" s="94">
        <v>0.67846700000000004</v>
      </c>
      <c r="K291" s="95">
        <f t="shared" si="56"/>
        <v>6.7846700000000009E-4</v>
      </c>
      <c r="L291" s="96">
        <v>0.6</v>
      </c>
      <c r="M291" s="104">
        <f t="shared" si="57"/>
        <v>6.4212003145132748</v>
      </c>
      <c r="N291" s="104">
        <f t="shared" si="58"/>
        <v>614.74055346566468</v>
      </c>
      <c r="O291" s="105">
        <v>625.06787736303443</v>
      </c>
      <c r="P291" s="105">
        <v>0.67438288466197183</v>
      </c>
      <c r="Q291" s="104">
        <f t="shared" si="59"/>
        <v>11.505489241431627</v>
      </c>
      <c r="R291" s="106">
        <f t="shared" si="63"/>
        <v>99259.13567648796</v>
      </c>
      <c r="S291" s="107">
        <v>99524.038507851248</v>
      </c>
      <c r="T291" s="111"/>
      <c r="U291" s="104">
        <f t="shared" si="64"/>
        <v>-1.2952628165918134</v>
      </c>
      <c r="V291" s="104">
        <f t="shared" si="65"/>
        <v>-1.5579849161054038</v>
      </c>
    </row>
    <row r="292" spans="1:22">
      <c r="A292" s="44" t="s">
        <v>112</v>
      </c>
      <c r="B292" s="90">
        <v>101440</v>
      </c>
      <c r="C292" s="123">
        <f t="shared" si="66"/>
        <v>4.8909109709440513E-2</v>
      </c>
      <c r="D292" s="90">
        <v>28685</v>
      </c>
      <c r="E292" s="122">
        <f t="shared" si="62"/>
        <v>7.976360761876089E-2</v>
      </c>
      <c r="F292" s="44">
        <v>99527.517999999996</v>
      </c>
      <c r="G292" s="44">
        <v>31693.036</v>
      </c>
      <c r="H292" s="92">
        <v>3.7492867559194565E-2</v>
      </c>
      <c r="I292" s="101">
        <f t="shared" si="60"/>
        <v>583964.26355814515</v>
      </c>
      <c r="J292" s="94">
        <v>0.68244800000000005</v>
      </c>
      <c r="K292" s="95">
        <f t="shared" si="56"/>
        <v>6.824480000000001E-4</v>
      </c>
      <c r="L292" s="96">
        <v>0.6</v>
      </c>
      <c r="M292" s="104">
        <f t="shared" si="57"/>
        <v>6.4263927879451801</v>
      </c>
      <c r="N292" s="104">
        <f t="shared" si="58"/>
        <v>617.94087906934885</v>
      </c>
      <c r="O292" s="105">
        <v>622.82288413779895</v>
      </c>
      <c r="P292" s="105">
        <v>0.6783860845201779</v>
      </c>
      <c r="Q292" s="104">
        <f t="shared" si="59"/>
        <v>11.512476986052407</v>
      </c>
      <c r="R292" s="106">
        <f t="shared" si="63"/>
        <v>99955.162163381639</v>
      </c>
      <c r="S292" s="107">
        <v>100125.52285834074</v>
      </c>
      <c r="T292" s="111"/>
      <c r="U292" s="104">
        <f t="shared" si="64"/>
        <v>-0.42783599578642972</v>
      </c>
      <c r="V292" s="104">
        <f t="shared" si="65"/>
        <v>-0.5972551665840653</v>
      </c>
    </row>
    <row r="293" spans="1:22">
      <c r="A293" s="44" t="s">
        <v>113</v>
      </c>
      <c r="B293" s="90">
        <v>98362</v>
      </c>
      <c r="C293" s="123">
        <f t="shared" si="66"/>
        <v>8.2412513581664459E-3</v>
      </c>
      <c r="D293" s="90">
        <v>35564</v>
      </c>
      <c r="E293" s="122">
        <f t="shared" si="62"/>
        <v>7.2885241945215506E-2</v>
      </c>
      <c r="F293" s="44">
        <v>99098.94</v>
      </c>
      <c r="G293" s="44">
        <v>30117.717000000001</v>
      </c>
      <c r="H293" s="92">
        <v>3.7492867559194565E-2</v>
      </c>
      <c r="I293" s="101">
        <f t="shared" si="60"/>
        <v>592187.48576525692</v>
      </c>
      <c r="J293" s="94">
        <v>0.68547899999999995</v>
      </c>
      <c r="K293" s="95">
        <f t="shared" si="56"/>
        <v>6.8547899999999991E-4</v>
      </c>
      <c r="L293" s="96">
        <v>0.6</v>
      </c>
      <c r="M293" s="104">
        <f t="shared" si="57"/>
        <v>6.4138250479456982</v>
      </c>
      <c r="N293" s="104">
        <f t="shared" si="58"/>
        <v>610.22335625662652</v>
      </c>
      <c r="O293" s="105">
        <v>620.6280275861692</v>
      </c>
      <c r="P293" s="105">
        <v>0.68247161264385647</v>
      </c>
      <c r="Q293" s="104">
        <f t="shared" si="59"/>
        <v>11.518142730545264</v>
      </c>
      <c r="R293" s="106">
        <f t="shared" si="63"/>
        <v>100523.08992048533</v>
      </c>
      <c r="S293" s="107">
        <v>100745.90331052036</v>
      </c>
      <c r="T293" s="111"/>
      <c r="U293" s="104">
        <f t="shared" si="64"/>
        <v>-1.41673910104817</v>
      </c>
      <c r="V293" s="104">
        <f t="shared" si="65"/>
        <v>-1.6347695106212479</v>
      </c>
    </row>
    <row r="294" spans="1:22">
      <c r="A294" s="44" t="s">
        <v>114</v>
      </c>
      <c r="B294" s="90">
        <v>96746</v>
      </c>
      <c r="C294" s="123">
        <f t="shared" si="66"/>
        <v>3.3423416687140106E-2</v>
      </c>
      <c r="D294" s="90">
        <v>30605</v>
      </c>
      <c r="E294" s="122">
        <f t="shared" si="62"/>
        <v>0.39202219594287269</v>
      </c>
      <c r="F294" s="44">
        <v>100616.89</v>
      </c>
      <c r="G294" s="44">
        <v>31561.921999999999</v>
      </c>
      <c r="H294" s="92">
        <v>3.7774782627820969E-2</v>
      </c>
      <c r="I294" s="101">
        <f t="shared" si="60"/>
        <v>601379.65421555855</v>
      </c>
      <c r="J294" s="94">
        <v>0.68627700000000003</v>
      </c>
      <c r="K294" s="95">
        <f t="shared" si="56"/>
        <v>6.86277E-4</v>
      </c>
      <c r="L294" s="96">
        <v>0.6</v>
      </c>
      <c r="M294" s="104">
        <f t="shared" si="57"/>
        <v>6.422167093496812</v>
      </c>
      <c r="N294" s="104">
        <f t="shared" si="58"/>
        <v>615.33515909288235</v>
      </c>
      <c r="O294" s="105">
        <v>618.48069589086106</v>
      </c>
      <c r="P294" s="105">
        <v>0.68663771860354317</v>
      </c>
      <c r="Q294" s="104">
        <f t="shared" si="59"/>
        <v>11.524489589002162</v>
      </c>
      <c r="R294" s="106">
        <f t="shared" si="63"/>
        <v>101163.12470041717</v>
      </c>
      <c r="S294" s="107">
        <v>101383.62940380011</v>
      </c>
      <c r="T294" s="111"/>
      <c r="U294" s="104">
        <f t="shared" si="64"/>
        <v>-0.53995435790935575</v>
      </c>
      <c r="V294" s="104">
        <f t="shared" si="65"/>
        <v>-0.7562753556062507</v>
      </c>
    </row>
    <row r="295" spans="1:22">
      <c r="A295" s="44" t="s">
        <v>115</v>
      </c>
      <c r="B295" s="90">
        <v>104229</v>
      </c>
      <c r="C295" s="123">
        <f t="shared" si="66"/>
        <v>4.3918512880092964E-2</v>
      </c>
      <c r="D295" s="90">
        <v>33132</v>
      </c>
      <c r="E295" s="122">
        <f t="shared" si="62"/>
        <v>0.11657061975533312</v>
      </c>
      <c r="F295" s="44">
        <v>101936.62</v>
      </c>
      <c r="G295" s="44">
        <v>34716.559999999998</v>
      </c>
      <c r="H295" s="92">
        <v>3.7774782627820969E-2</v>
      </c>
      <c r="I295" s="101">
        <f t="shared" si="60"/>
        <v>613379.22850077157</v>
      </c>
      <c r="J295" s="94">
        <v>0.68746499999999999</v>
      </c>
      <c r="K295" s="95">
        <f t="shared" si="56"/>
        <v>6.8746499999999995E-4</v>
      </c>
      <c r="L295" s="96">
        <v>0.6</v>
      </c>
      <c r="M295" s="104">
        <f t="shared" si="57"/>
        <v>6.4262576756044556</v>
      </c>
      <c r="N295" s="104">
        <f t="shared" si="58"/>
        <v>617.85739327085616</v>
      </c>
      <c r="O295" s="105">
        <v>616.37177431500936</v>
      </c>
      <c r="P295" s="105">
        <v>0.69088453158687113</v>
      </c>
      <c r="Q295" s="104">
        <f t="shared" si="59"/>
        <v>11.532676234577615</v>
      </c>
      <c r="R295" s="106">
        <f t="shared" si="63"/>
        <v>101994.71065289091</v>
      </c>
      <c r="S295" s="107">
        <v>102036.12132552096</v>
      </c>
      <c r="T295" s="111"/>
      <c r="U295" s="104">
        <f t="shared" si="64"/>
        <v>-5.6954573937273434E-2</v>
      </c>
      <c r="V295" s="104">
        <f t="shared" si="65"/>
        <v>-9.751578581033149E-2</v>
      </c>
    </row>
    <row r="296" spans="1:22">
      <c r="A296" s="44" t="s">
        <v>116</v>
      </c>
      <c r="B296" s="90">
        <v>103324</v>
      </c>
      <c r="C296" s="123">
        <f t="shared" si="66"/>
        <v>1.8572555205047303E-2</v>
      </c>
      <c r="D296" s="90">
        <v>31069</v>
      </c>
      <c r="E296" s="122">
        <f t="shared" si="62"/>
        <v>8.3109639184242745E-2</v>
      </c>
      <c r="F296" s="44">
        <v>101714.65</v>
      </c>
      <c r="G296" s="44">
        <v>34185.292999999998</v>
      </c>
      <c r="H296" s="92">
        <v>3.7774782627820969E-2</v>
      </c>
      <c r="I296" s="101">
        <f t="shared" si="60"/>
        <v>624394.25447573431</v>
      </c>
      <c r="J296" s="94">
        <v>0.69096500000000005</v>
      </c>
      <c r="K296" s="95">
        <f t="shared" si="56"/>
        <v>6.9096500000000009E-4</v>
      </c>
      <c r="L296" s="96">
        <v>0.6</v>
      </c>
      <c r="M296" s="104">
        <f t="shared" si="57"/>
        <v>6.4139113810660326</v>
      </c>
      <c r="N296" s="104">
        <f t="shared" si="58"/>
        <v>610.27604101726024</v>
      </c>
      <c r="O296" s="105">
        <v>614.2901821612503</v>
      </c>
      <c r="P296" s="105">
        <v>0.69521195533234637</v>
      </c>
      <c r="Q296" s="104">
        <f t="shared" si="59"/>
        <v>11.540159227322778</v>
      </c>
      <c r="R296" s="106">
        <f t="shared" si="63"/>
        <v>102760.79907503581</v>
      </c>
      <c r="S296" s="107">
        <v>102700.32005089649</v>
      </c>
      <c r="T296" s="111"/>
      <c r="U296" s="104">
        <f t="shared" si="64"/>
        <v>-1.0180429545627812</v>
      </c>
      <c r="V296" s="104">
        <f t="shared" si="65"/>
        <v>-0.9597536311552135</v>
      </c>
    </row>
    <row r="297" spans="1:22">
      <c r="A297" s="44" t="s">
        <v>117</v>
      </c>
      <c r="B297" s="90">
        <v>103236</v>
      </c>
      <c r="C297" s="123">
        <f t="shared" si="66"/>
        <v>4.9551656127366339E-2</v>
      </c>
      <c r="D297" s="90">
        <v>33474</v>
      </c>
      <c r="E297" s="122">
        <f t="shared" si="62"/>
        <v>-5.876729276796766E-2</v>
      </c>
      <c r="F297" s="44">
        <v>102800.34</v>
      </c>
      <c r="G297" s="44">
        <v>27654.626</v>
      </c>
      <c r="H297" s="92">
        <v>3.7774782627820969E-2</v>
      </c>
      <c r="I297" s="101">
        <f t="shared" si="60"/>
        <v>628462.5232388532</v>
      </c>
      <c r="J297" s="94">
        <v>0.69604600000000005</v>
      </c>
      <c r="K297" s="95">
        <f t="shared" si="56"/>
        <v>6.9604600000000008E-4</v>
      </c>
      <c r="L297" s="96">
        <v>0.6</v>
      </c>
      <c r="M297" s="104">
        <f t="shared" si="57"/>
        <v>6.4175349861819111</v>
      </c>
      <c r="N297" s="104">
        <f t="shared" si="58"/>
        <v>612.49145186450528</v>
      </c>
      <c r="O297" s="105">
        <v>612.22576724406747</v>
      </c>
      <c r="P297" s="105">
        <v>0.69961775637123302</v>
      </c>
      <c r="Q297" s="104">
        <f t="shared" si="59"/>
        <v>11.543181092499079</v>
      </c>
      <c r="R297" s="106">
        <f t="shared" si="63"/>
        <v>103071.79801702425</v>
      </c>
      <c r="S297" s="107">
        <v>103373.10436681185</v>
      </c>
      <c r="T297" s="111"/>
      <c r="U297" s="104">
        <f t="shared" si="64"/>
        <v>-0.26336788747919337</v>
      </c>
      <c r="V297" s="104">
        <f t="shared" si="65"/>
        <v>-0.55407484405174401</v>
      </c>
    </row>
    <row r="298" spans="1:22">
      <c r="A298" s="44" t="s">
        <v>118</v>
      </c>
      <c r="B298" s="90">
        <v>99679</v>
      </c>
      <c r="C298" s="123">
        <f t="shared" si="66"/>
        <v>3.0316498873338427E-2</v>
      </c>
      <c r="D298" s="90">
        <v>32330</v>
      </c>
      <c r="E298" s="122">
        <f t="shared" si="62"/>
        <v>5.6363339323640016E-2</v>
      </c>
      <c r="F298" s="44">
        <v>104231.28</v>
      </c>
      <c r="G298" s="44">
        <v>33199.576000000001</v>
      </c>
      <c r="H298" s="92">
        <v>3.8093328475952148E-2</v>
      </c>
      <c r="I298" s="101">
        <f t="shared" si="60"/>
        <v>637721.86990628985</v>
      </c>
      <c r="J298" s="94">
        <v>0.69724799999999998</v>
      </c>
      <c r="K298" s="95">
        <f t="shared" si="56"/>
        <v>6.9724800000000003E-4</v>
      </c>
      <c r="L298" s="96">
        <v>0.6</v>
      </c>
      <c r="M298" s="104">
        <f t="shared" si="57"/>
        <v>6.424473017048979</v>
      </c>
      <c r="N298" s="104">
        <f t="shared" si="58"/>
        <v>616.75571214262141</v>
      </c>
      <c r="O298" s="105">
        <v>610.16586853972956</v>
      </c>
      <c r="P298" s="105">
        <v>0.70409704688771269</v>
      </c>
      <c r="Q298" s="104">
        <f t="shared" si="59"/>
        <v>11.549490397541369</v>
      </c>
      <c r="R298" s="106">
        <f t="shared" si="63"/>
        <v>103724.16525985653</v>
      </c>
      <c r="S298" s="107">
        <v>104050.73701637037</v>
      </c>
      <c r="T298" s="111"/>
      <c r="U298" s="104">
        <f t="shared" si="64"/>
        <v>0.48890703422197479</v>
      </c>
      <c r="V298" s="104">
        <f t="shared" si="65"/>
        <v>0.17351437270571868</v>
      </c>
    </row>
    <row r="299" spans="1:22">
      <c r="A299" s="44" t="s">
        <v>119</v>
      </c>
      <c r="B299" s="90">
        <v>105177</v>
      </c>
      <c r="C299" s="123">
        <f t="shared" si="66"/>
        <v>9.0953573381689079E-3</v>
      </c>
      <c r="D299" s="90">
        <v>29957</v>
      </c>
      <c r="E299" s="122">
        <f t="shared" si="62"/>
        <v>-9.5828805988168564E-2</v>
      </c>
      <c r="F299" s="44">
        <v>104543.12</v>
      </c>
      <c r="G299" s="44">
        <v>31936.753000000001</v>
      </c>
      <c r="H299" s="92">
        <v>3.8093328475952148E-2</v>
      </c>
      <c r="I299" s="101">
        <f t="shared" si="60"/>
        <v>645365.67423965118</v>
      </c>
      <c r="J299" s="94">
        <v>0.69957800000000003</v>
      </c>
      <c r="K299" s="95">
        <f t="shared" si="56"/>
        <v>6.9957800000000007E-4</v>
      </c>
      <c r="L299" s="96">
        <v>0.6</v>
      </c>
      <c r="M299" s="104">
        <f t="shared" si="57"/>
        <v>6.4206927378065188</v>
      </c>
      <c r="N299" s="104">
        <f t="shared" si="58"/>
        <v>614.42860465569947</v>
      </c>
      <c r="O299" s="105">
        <v>608.09799107739298</v>
      </c>
      <c r="P299" s="105">
        <v>0.70864270671823482</v>
      </c>
      <c r="Q299" s="104">
        <f t="shared" si="59"/>
        <v>11.554722695757826</v>
      </c>
      <c r="R299" s="106">
        <f t="shared" si="63"/>
        <v>104268.30332967271</v>
      </c>
      <c r="S299" s="107">
        <v>104729.12276494615</v>
      </c>
      <c r="T299" s="111"/>
      <c r="U299" s="104">
        <f t="shared" si="64"/>
        <v>0.26356683819663829</v>
      </c>
      <c r="V299" s="104">
        <f t="shared" si="65"/>
        <v>-0.1776036693858507</v>
      </c>
    </row>
    <row r="300" spans="1:22">
      <c r="A300" s="44" t="s">
        <v>120</v>
      </c>
      <c r="B300" s="90">
        <v>108275</v>
      </c>
      <c r="C300" s="123">
        <f t="shared" si="66"/>
        <v>4.7917231233788771E-2</v>
      </c>
      <c r="D300" s="90">
        <v>31476</v>
      </c>
      <c r="E300" s="122">
        <f t="shared" si="62"/>
        <v>1.3099874472947359E-2</v>
      </c>
      <c r="F300" s="44">
        <v>105996.51</v>
      </c>
      <c r="G300" s="44">
        <v>34827.652000000002</v>
      </c>
      <c r="H300" s="92">
        <v>3.8093328475952148E-2</v>
      </c>
      <c r="I300" s="101">
        <f t="shared" si="60"/>
        <v>655609.19962373585</v>
      </c>
      <c r="J300" s="94">
        <v>0.71138000000000001</v>
      </c>
      <c r="K300" s="95">
        <f t="shared" si="56"/>
        <v>7.1138000000000006E-4</v>
      </c>
      <c r="L300" s="96">
        <v>0.6</v>
      </c>
      <c r="M300" s="104">
        <f t="shared" si="57"/>
        <v>6.4181625048384365</v>
      </c>
      <c r="N300" s="104">
        <f t="shared" si="58"/>
        <v>612.8759222960806</v>
      </c>
      <c r="O300" s="105">
        <v>606.01375853846594</v>
      </c>
      <c r="P300" s="105">
        <v>0.71324333504494408</v>
      </c>
      <c r="Q300" s="104">
        <f t="shared" si="59"/>
        <v>11.561471172869719</v>
      </c>
      <c r="R300" s="106">
        <f t="shared" si="63"/>
        <v>104974.33522874114</v>
      </c>
      <c r="S300" s="107">
        <v>105404.27921727802</v>
      </c>
      <c r="T300" s="111"/>
      <c r="U300" s="104">
        <f t="shared" si="64"/>
        <v>0.9737377893668242</v>
      </c>
      <c r="V300" s="104">
        <f t="shared" si="65"/>
        <v>0.56186597652374548</v>
      </c>
    </row>
    <row r="301" spans="1:22">
      <c r="A301" s="44" t="s">
        <v>121</v>
      </c>
      <c r="B301" s="90">
        <v>110118</v>
      </c>
      <c r="C301" s="123">
        <f t="shared" si="66"/>
        <v>6.6662792049285047E-2</v>
      </c>
      <c r="D301" s="90">
        <v>45126</v>
      </c>
      <c r="E301" s="122">
        <f t="shared" si="62"/>
        <v>0.34809105574475718</v>
      </c>
      <c r="F301" s="44">
        <v>107068.18</v>
      </c>
      <c r="G301" s="44">
        <v>38704.777999999998</v>
      </c>
      <c r="H301" s="92">
        <v>3.8093328475952148E-2</v>
      </c>
      <c r="I301" s="101">
        <f t="shared" si="60"/>
        <v>669339.64103061287</v>
      </c>
      <c r="J301" s="94">
        <v>0.71575800000000001</v>
      </c>
      <c r="K301" s="95">
        <f t="shared" si="56"/>
        <v>7.1575800000000004E-4</v>
      </c>
      <c r="L301" s="96">
        <v>0.6</v>
      </c>
      <c r="M301" s="104">
        <f t="shared" si="57"/>
        <v>6.4162502435973234</v>
      </c>
      <c r="N301" s="104">
        <f t="shared" si="58"/>
        <v>611.70506327521878</v>
      </c>
      <c r="O301" s="105">
        <v>603.90875123784315</v>
      </c>
      <c r="P301" s="105">
        <v>0.71788186560828615</v>
      </c>
      <c r="Q301" s="104">
        <f t="shared" si="59"/>
        <v>11.570171716755222</v>
      </c>
      <c r="R301" s="106">
        <f t="shared" si="63"/>
        <v>105891.65383795525</v>
      </c>
      <c r="S301" s="107">
        <v>106072.10772637672</v>
      </c>
      <c r="T301" s="111"/>
      <c r="U301" s="104">
        <f t="shared" si="64"/>
        <v>1.111065999446148</v>
      </c>
      <c r="V301" s="104">
        <f t="shared" si="65"/>
        <v>0.93905202316968417</v>
      </c>
    </row>
    <row r="302" spans="1:22">
      <c r="A302" s="44" t="s">
        <v>122</v>
      </c>
      <c r="B302" s="90">
        <v>101100</v>
      </c>
      <c r="C302" s="123">
        <f t="shared" si="66"/>
        <v>1.4255760992786914E-2</v>
      </c>
      <c r="D302" s="90">
        <v>35237</v>
      </c>
      <c r="E302" s="122">
        <f t="shared" si="62"/>
        <v>8.9916486235694482E-2</v>
      </c>
      <c r="F302" s="44">
        <v>107007.92</v>
      </c>
      <c r="G302" s="44">
        <v>36062.044999999998</v>
      </c>
      <c r="H302" s="92">
        <v>3.8487061858177185E-2</v>
      </c>
      <c r="I302" s="101">
        <f t="shared" si="60"/>
        <v>679640.76986213762</v>
      </c>
      <c r="J302" s="94">
        <v>0.71443500000000004</v>
      </c>
      <c r="K302" s="95">
        <f t="shared" si="56"/>
        <v>7.1443500000000003E-4</v>
      </c>
      <c r="L302" s="96">
        <v>0.6</v>
      </c>
      <c r="M302" s="104">
        <f t="shared" si="57"/>
        <v>6.4106882212920056</v>
      </c>
      <c r="N302" s="104">
        <f t="shared" si="58"/>
        <v>608.31219043306737</v>
      </c>
      <c r="O302" s="105">
        <v>601.78283834276783</v>
      </c>
      <c r="P302" s="105">
        <v>0.72254006756430389</v>
      </c>
      <c r="Q302" s="104">
        <f t="shared" si="59"/>
        <v>11.576635067540387</v>
      </c>
      <c r="R302" s="106">
        <f t="shared" ref="R302:R341" si="67">EXP(Q302)</f>
        <v>106578.28532167221</v>
      </c>
      <c r="S302" s="107">
        <v>106728.87978949225</v>
      </c>
      <c r="T302" s="111"/>
      <c r="U302" s="104">
        <f t="shared" ref="U302:U329" si="68">(F302/R302-1)*100</f>
        <v>0.40311652324962477</v>
      </c>
      <c r="V302" s="104">
        <f t="shared" ref="V302:V329" si="69">(F302/S302-1)*100</f>
        <v>0.26144770849101384</v>
      </c>
    </row>
    <row r="303" spans="1:22">
      <c r="A303" s="44" t="s">
        <v>123</v>
      </c>
      <c r="B303" s="90">
        <v>107841</v>
      </c>
      <c r="C303" s="123">
        <f t="shared" si="66"/>
        <v>2.5328731566787388E-2</v>
      </c>
      <c r="D303" s="90">
        <v>39356</v>
      </c>
      <c r="E303" s="122">
        <f t="shared" si="62"/>
        <v>0.3137497079146776</v>
      </c>
      <c r="F303" s="44">
        <v>108686.54</v>
      </c>
      <c r="G303" s="44">
        <v>41698.417999999998</v>
      </c>
      <c r="H303" s="92">
        <v>3.8487061858177185E-2</v>
      </c>
      <c r="I303" s="101">
        <f t="shared" si="60"/>
        <v>695181.81151111436</v>
      </c>
      <c r="J303" s="94">
        <v>0.72067400000000004</v>
      </c>
      <c r="K303" s="95">
        <f t="shared" ref="K303:K325" si="70">J303/1000</f>
        <v>7.2067400000000003E-4</v>
      </c>
      <c r="L303" s="96">
        <v>0.6</v>
      </c>
      <c r="M303" s="104">
        <f t="shared" ref="M303:M341" si="71">LN(F303)-L303*LN(J303)-(1-L303)*LN(I303)</f>
        <v>6.4119927987860432</v>
      </c>
      <c r="N303" s="104">
        <f t="shared" ref="N303:N341" si="72">EXP(M303)</f>
        <v>609.10629870131652</v>
      </c>
      <c r="O303" s="105">
        <v>599.64076171550664</v>
      </c>
      <c r="P303" s="105">
        <v>0.72719838265303494</v>
      </c>
      <c r="Q303" s="104">
        <f t="shared" ref="Q303:Q341" si="73">LN(O303)+LN(P303)*L303+LN(I303)*(1-L303)</f>
        <v>11.585968645166776</v>
      </c>
      <c r="R303" s="106">
        <f t="shared" si="67"/>
        <v>107577.69881736</v>
      </c>
      <c r="S303" s="107">
        <v>107371.48944904558</v>
      </c>
      <c r="T303" s="111"/>
      <c r="U303" s="104">
        <f t="shared" si="68"/>
        <v>1.0307351754405225</v>
      </c>
      <c r="V303" s="104">
        <f t="shared" si="69"/>
        <v>1.2247669820939722</v>
      </c>
    </row>
    <row r="304" spans="1:22">
      <c r="A304" s="44" t="s">
        <v>124</v>
      </c>
      <c r="B304" s="90">
        <v>111758</v>
      </c>
      <c r="C304" s="123">
        <f t="shared" si="66"/>
        <v>3.2168090510274805E-2</v>
      </c>
      <c r="D304" s="90">
        <v>36762</v>
      </c>
      <c r="E304" s="122">
        <f t="shared" si="62"/>
        <v>0.1679374761723218</v>
      </c>
      <c r="F304" s="44">
        <v>109376.31</v>
      </c>
      <c r="G304" s="44">
        <v>40368.773000000001</v>
      </c>
      <c r="H304" s="92">
        <v>3.8487061858177185E-2</v>
      </c>
      <c r="I304" s="101">
        <f t="shared" ref="I304:I329" si="74">I303*(1-H304)+G304</f>
        <v>708795.07912880648</v>
      </c>
      <c r="J304" s="94">
        <v>0.72798499999999999</v>
      </c>
      <c r="K304" s="95">
        <f t="shared" si="70"/>
        <v>7.27985E-4</v>
      </c>
      <c r="L304" s="96">
        <v>0.6</v>
      </c>
      <c r="M304" s="104">
        <f t="shared" si="71"/>
        <v>6.4045058076828267</v>
      </c>
      <c r="N304" s="104">
        <f t="shared" si="72"/>
        <v>604.56295447402147</v>
      </c>
      <c r="O304" s="105">
        <v>597.4913440633826</v>
      </c>
      <c r="P304" s="105">
        <v>0.73183218694728924</v>
      </c>
      <c r="Q304" s="104">
        <f t="shared" si="73"/>
        <v>11.593946064597228</v>
      </c>
      <c r="R304" s="106">
        <f t="shared" si="67"/>
        <v>108439.32344328337</v>
      </c>
      <c r="S304" s="107">
        <v>107997.00514758927</v>
      </c>
      <c r="T304" s="111"/>
      <c r="U304" s="104">
        <f t="shared" si="68"/>
        <v>0.86406529196643156</v>
      </c>
      <c r="V304" s="104">
        <f t="shared" si="69"/>
        <v>1.2771695386605941</v>
      </c>
    </row>
    <row r="305" spans="1:22">
      <c r="A305" s="44" t="s">
        <v>125</v>
      </c>
      <c r="B305" s="90">
        <v>114605</v>
      </c>
      <c r="C305" s="123">
        <f t="shared" si="66"/>
        <v>4.0747198459833989E-2</v>
      </c>
      <c r="D305" s="90">
        <v>44939</v>
      </c>
      <c r="E305" s="122">
        <f t="shared" si="62"/>
        <v>-4.1439524885875656E-3</v>
      </c>
      <c r="F305" s="44">
        <v>110016.11</v>
      </c>
      <c r="G305" s="44">
        <v>37984.188000000002</v>
      </c>
      <c r="H305" s="92">
        <v>3.8487061858177185E-2</v>
      </c>
      <c r="I305" s="101">
        <f t="shared" si="74"/>
        <v>719499.82707360445</v>
      </c>
      <c r="J305" s="94">
        <v>0.73110699999999995</v>
      </c>
      <c r="K305" s="95">
        <f t="shared" si="70"/>
        <v>7.3110699999999994E-4</v>
      </c>
      <c r="L305" s="96">
        <v>0.6</v>
      </c>
      <c r="M305" s="104">
        <f t="shared" si="71"/>
        <v>6.4017747356788224</v>
      </c>
      <c r="N305" s="104">
        <f t="shared" si="72"/>
        <v>602.9141021065343</v>
      </c>
      <c r="O305" s="105">
        <v>595.34932405433494</v>
      </c>
      <c r="P305" s="105">
        <v>0.73641277878071854</v>
      </c>
      <c r="Q305" s="104">
        <f t="shared" si="73"/>
        <v>11.600094272469519</v>
      </c>
      <c r="R305" s="106">
        <f t="shared" si="67"/>
        <v>109108.08468027209</v>
      </c>
      <c r="S305" s="107">
        <v>108603.31723427023</v>
      </c>
      <c r="T305" s="111"/>
      <c r="U305" s="104">
        <f t="shared" si="68"/>
        <v>0.83222551508328468</v>
      </c>
      <c r="V305" s="104">
        <f t="shared" si="69"/>
        <v>1.3008744131472572</v>
      </c>
    </row>
    <row r="306" spans="1:22">
      <c r="A306" s="44" t="s">
        <v>126</v>
      </c>
      <c r="B306" s="90">
        <v>105084</v>
      </c>
      <c r="C306" s="123">
        <f t="shared" si="66"/>
        <v>3.9406528189910972E-2</v>
      </c>
      <c r="D306" s="90">
        <v>42426</v>
      </c>
      <c r="E306" s="122">
        <f t="shared" si="62"/>
        <v>0.20401850327780457</v>
      </c>
      <c r="F306" s="44">
        <v>110404.65</v>
      </c>
      <c r="G306" s="44">
        <v>43104.81</v>
      </c>
      <c r="H306" s="92">
        <v>3.9075747132301331E-2</v>
      </c>
      <c r="I306" s="101">
        <f t="shared" si="74"/>
        <v>734489.64376914175</v>
      </c>
      <c r="J306" s="94">
        <v>0.734043</v>
      </c>
      <c r="K306" s="95">
        <f t="shared" si="70"/>
        <v>7.3404299999999998E-4</v>
      </c>
      <c r="L306" s="96">
        <v>0.6</v>
      </c>
      <c r="M306" s="104">
        <f t="shared" si="71"/>
        <v>6.3946476629717015</v>
      </c>
      <c r="N306" s="104">
        <f t="shared" si="72"/>
        <v>598.63236571224695</v>
      </c>
      <c r="O306" s="105">
        <v>593.23386011280934</v>
      </c>
      <c r="P306" s="105">
        <v>0.74090905199513235</v>
      </c>
      <c r="Q306" s="104">
        <f t="shared" si="73"/>
        <v>11.608434720145178</v>
      </c>
      <c r="R306" s="106">
        <f t="shared" si="67"/>
        <v>110021.90047061855</v>
      </c>
      <c r="S306" s="107">
        <v>109189.17812376808</v>
      </c>
      <c r="T306" s="111"/>
      <c r="U306" s="104">
        <f t="shared" si="68"/>
        <v>0.3478848554189895</v>
      </c>
      <c r="V306" s="104">
        <f t="shared" si="69"/>
        <v>1.1131798014397898</v>
      </c>
    </row>
    <row r="307" spans="1:22">
      <c r="A307" s="44" t="s">
        <v>127</v>
      </c>
      <c r="B307" s="90">
        <v>107915</v>
      </c>
      <c r="C307" s="123">
        <f t="shared" si="66"/>
        <v>6.8619541732739542E-4</v>
      </c>
      <c r="D307" s="90">
        <v>34058</v>
      </c>
      <c r="E307" s="122">
        <f t="shared" ref="E307:E329" si="75">D307/D303-1</f>
        <v>-0.1346173391604838</v>
      </c>
      <c r="F307" s="44">
        <v>109689.94</v>
      </c>
      <c r="G307" s="44">
        <v>36853.925999999999</v>
      </c>
      <c r="H307" s="92">
        <v>3.9075747132301331E-2</v>
      </c>
      <c r="I307" s="101">
        <f t="shared" si="74"/>
        <v>742642.83817792463</v>
      </c>
      <c r="J307" s="94">
        <v>0.73989199999999999</v>
      </c>
      <c r="K307" s="95">
        <f t="shared" si="70"/>
        <v>7.3989200000000002E-4</v>
      </c>
      <c r="L307" s="96">
        <v>0.6</v>
      </c>
      <c r="M307" s="104">
        <f t="shared" si="71"/>
        <v>6.3789753647146528</v>
      </c>
      <c r="N307" s="104">
        <f t="shared" si="72"/>
        <v>589.32355648356065</v>
      </c>
      <c r="O307" s="105">
        <v>591.16883864953411</v>
      </c>
      <c r="P307" s="105">
        <v>0.74528658432060235</v>
      </c>
      <c r="Q307" s="104">
        <f t="shared" si="73"/>
        <v>11.612897987344898</v>
      </c>
      <c r="R307" s="106">
        <f t="shared" si="67"/>
        <v>110514.05510204435</v>
      </c>
      <c r="S307" s="107">
        <v>109754.22322624105</v>
      </c>
      <c r="T307" s="111"/>
      <c r="U307" s="104">
        <f t="shared" si="68"/>
        <v>-0.74571067117517043</v>
      </c>
      <c r="V307" s="104">
        <f t="shared" si="69"/>
        <v>-5.8570161904880624E-2</v>
      </c>
    </row>
    <row r="308" spans="1:22">
      <c r="A308" s="44" t="s">
        <v>128</v>
      </c>
      <c r="B308" s="90">
        <v>111969</v>
      </c>
      <c r="C308" s="123">
        <f t="shared" si="66"/>
        <v>1.8880080173231395E-3</v>
      </c>
      <c r="D308" s="90">
        <v>32082</v>
      </c>
      <c r="E308" s="122">
        <f t="shared" si="75"/>
        <v>-0.12730536967520811</v>
      </c>
      <c r="F308" s="44">
        <v>110203.93</v>
      </c>
      <c r="G308" s="44">
        <v>35937.540999999997</v>
      </c>
      <c r="H308" s="92">
        <v>3.9075747132301303E-2</v>
      </c>
      <c r="I308" s="101">
        <f t="shared" si="74"/>
        <v>749561.0554236694</v>
      </c>
      <c r="J308" s="94">
        <v>0.74345099999999997</v>
      </c>
      <c r="K308" s="95">
        <f t="shared" si="70"/>
        <v>7.4345100000000001E-4</v>
      </c>
      <c r="L308" s="96">
        <v>0.6</v>
      </c>
      <c r="M308" s="104">
        <f t="shared" si="71"/>
        <v>6.3770620674541743</v>
      </c>
      <c r="N308" s="104">
        <f t="shared" si="72"/>
        <v>588.19708332005473</v>
      </c>
      <c r="O308" s="105">
        <v>589.18152014123734</v>
      </c>
      <c r="P308" s="105">
        <v>0.74950666220470319</v>
      </c>
      <c r="Q308" s="104">
        <f t="shared" si="73"/>
        <v>11.616627498104604</v>
      </c>
      <c r="R308" s="106">
        <f t="shared" si="67"/>
        <v>110926.98799985678</v>
      </c>
      <c r="S308" s="107">
        <v>110298.84762176999</v>
      </c>
      <c r="T308" s="111"/>
      <c r="U308" s="104">
        <f t="shared" si="68"/>
        <v>-0.65183235648453852</v>
      </c>
      <c r="V308" s="104">
        <f t="shared" si="69"/>
        <v>-8.6054953262504341E-2</v>
      </c>
    </row>
    <row r="309" spans="1:22">
      <c r="A309" s="44" t="s">
        <v>129</v>
      </c>
      <c r="B309" s="90">
        <v>115045</v>
      </c>
      <c r="C309" s="123">
        <f t="shared" si="66"/>
        <v>3.8392740281838478E-3</v>
      </c>
      <c r="D309" s="90">
        <v>44282</v>
      </c>
      <c r="E309" s="122">
        <f t="shared" si="75"/>
        <v>-1.4619817975477845E-2</v>
      </c>
      <c r="F309" s="44">
        <v>110280.45</v>
      </c>
      <c r="G309" s="44">
        <v>36686.894999999997</v>
      </c>
      <c r="H309" s="92">
        <v>3.9075747132301331E-2</v>
      </c>
      <c r="I309" s="101">
        <f t="shared" si="74"/>
        <v>756958.29216171324</v>
      </c>
      <c r="J309" s="94">
        <v>0.74520600000000004</v>
      </c>
      <c r="K309" s="95">
        <f t="shared" si="70"/>
        <v>7.4520599999999999E-4</v>
      </c>
      <c r="L309" s="96">
        <v>0.6</v>
      </c>
      <c r="M309" s="104">
        <f t="shared" si="71"/>
        <v>6.3724133250332828</v>
      </c>
      <c r="N309" s="104">
        <f t="shared" si="72"/>
        <v>585.46905245629148</v>
      </c>
      <c r="O309" s="105">
        <v>587.29801176329318</v>
      </c>
      <c r="P309" s="105">
        <v>0.75352720047980903</v>
      </c>
      <c r="Q309" s="104">
        <f t="shared" si="73"/>
        <v>11.620563653377207</v>
      </c>
      <c r="R309" s="106">
        <f t="shared" si="67"/>
        <v>111364.47429068886</v>
      </c>
      <c r="S309" s="107">
        <v>110823.40621341935</v>
      </c>
      <c r="T309" s="111"/>
      <c r="U309" s="104">
        <f t="shared" si="68"/>
        <v>-0.97340224303424927</v>
      </c>
      <c r="V309" s="104">
        <f t="shared" si="69"/>
        <v>-0.48992918731783908</v>
      </c>
    </row>
    <row r="310" spans="1:22">
      <c r="A310" s="44" t="s">
        <v>130</v>
      </c>
      <c r="B310" s="90">
        <v>105790</v>
      </c>
      <c r="C310" s="123">
        <f t="shared" si="66"/>
        <v>6.7184347759887686E-3</v>
      </c>
      <c r="D310" s="90">
        <v>40290</v>
      </c>
      <c r="E310" s="122">
        <f t="shared" si="75"/>
        <v>-5.034648564559463E-2</v>
      </c>
      <c r="F310" s="44">
        <v>111487.41</v>
      </c>
      <c r="G310" s="44">
        <v>41040.591999999997</v>
      </c>
      <c r="H310" s="92">
        <v>3.9768289774656296E-2</v>
      </c>
      <c r="I310" s="101">
        <f t="shared" si="74"/>
        <v>767895.9474516972</v>
      </c>
      <c r="J310" s="94">
        <v>0.749892</v>
      </c>
      <c r="K310" s="95">
        <f t="shared" si="70"/>
        <v>7.4989200000000005E-4</v>
      </c>
      <c r="L310" s="96">
        <v>0.6</v>
      </c>
      <c r="M310" s="104">
        <f t="shared" si="71"/>
        <v>6.373798791256438</v>
      </c>
      <c r="N310" s="104">
        <f t="shared" si="72"/>
        <v>586.2807622215629</v>
      </c>
      <c r="O310" s="105">
        <v>585.54380541806268</v>
      </c>
      <c r="P310" s="105">
        <v>0.75730232918941631</v>
      </c>
      <c r="Q310" s="104">
        <f t="shared" si="73"/>
        <v>11.626309168163644</v>
      </c>
      <c r="R310" s="106">
        <f t="shared" si="67"/>
        <v>112006.16217279149</v>
      </c>
      <c r="S310" s="107">
        <v>111328.19458073999</v>
      </c>
      <c r="T310" s="111"/>
      <c r="U310" s="104">
        <f t="shared" si="68"/>
        <v>-0.46314610082899277</v>
      </c>
      <c r="V310" s="104">
        <f t="shared" si="69"/>
        <v>0.14301446265216899</v>
      </c>
    </row>
    <row r="311" spans="1:22">
      <c r="A311" s="44" t="s">
        <v>131</v>
      </c>
      <c r="B311" s="90">
        <v>110944</v>
      </c>
      <c r="C311" s="123">
        <f t="shared" si="66"/>
        <v>2.806838715655835E-2</v>
      </c>
      <c r="D311" s="90">
        <v>31535</v>
      </c>
      <c r="E311" s="122">
        <f t="shared" si="75"/>
        <v>-7.4079511421692446E-2</v>
      </c>
      <c r="F311" s="44">
        <v>112154.71</v>
      </c>
      <c r="G311" s="44">
        <v>34687.873</v>
      </c>
      <c r="H311" s="92">
        <v>3.9768289774656296E-2</v>
      </c>
      <c r="I311" s="101">
        <f t="shared" si="74"/>
        <v>772045.91189665382</v>
      </c>
      <c r="J311" s="94">
        <v>0.75507299999999999</v>
      </c>
      <c r="K311" s="95">
        <f t="shared" si="70"/>
        <v>7.5507299999999999E-4</v>
      </c>
      <c r="L311" s="96">
        <v>0.6</v>
      </c>
      <c r="M311" s="104">
        <f t="shared" si="71"/>
        <v>6.3734793243478558</v>
      </c>
      <c r="N311" s="104">
        <f t="shared" si="72"/>
        <v>586.09349483335427</v>
      </c>
      <c r="O311" s="105">
        <v>583.94324990834002</v>
      </c>
      <c r="P311" s="105">
        <v>0.76078097762672148</v>
      </c>
      <c r="Q311" s="104">
        <f t="shared" si="73"/>
        <v>11.628477660025082</v>
      </c>
      <c r="R311" s="106">
        <f t="shared" si="67"/>
        <v>112249.31016082996</v>
      </c>
      <c r="S311" s="107">
        <v>111813.16895564937</v>
      </c>
      <c r="T311" s="111"/>
      <c r="U311" s="104">
        <f t="shared" si="68"/>
        <v>-8.4276830471752273E-2</v>
      </c>
      <c r="V311" s="104">
        <f t="shared" si="69"/>
        <v>0.30545690417387306</v>
      </c>
    </row>
    <row r="312" spans="1:22">
      <c r="A312" s="44" t="s">
        <v>132</v>
      </c>
      <c r="B312" s="90">
        <v>114985</v>
      </c>
      <c r="C312" s="123">
        <f t="shared" si="66"/>
        <v>2.6936026936027035E-2</v>
      </c>
      <c r="D312" s="90">
        <v>32266</v>
      </c>
      <c r="E312" s="122">
        <f t="shared" si="75"/>
        <v>5.735303285331339E-3</v>
      </c>
      <c r="F312" s="44">
        <v>113445.9</v>
      </c>
      <c r="G312" s="44">
        <v>36265.061000000002</v>
      </c>
      <c r="H312" s="92">
        <v>3.9768289774656296E-2</v>
      </c>
      <c r="I312" s="101">
        <f t="shared" si="74"/>
        <v>777608.02735300886</v>
      </c>
      <c r="J312" s="94">
        <v>0.75944500000000004</v>
      </c>
      <c r="K312" s="95">
        <f t="shared" si="70"/>
        <v>7.5944500000000009E-4</v>
      </c>
      <c r="L312" s="96">
        <v>0.6</v>
      </c>
      <c r="M312" s="104">
        <f t="shared" si="71"/>
        <v>6.3785906335387086</v>
      </c>
      <c r="N312" s="104">
        <f t="shared" si="72"/>
        <v>589.09686894834033</v>
      </c>
      <c r="O312" s="105">
        <v>582.52115463492157</v>
      </c>
      <c r="P312" s="105">
        <v>0.76390744362917773</v>
      </c>
      <c r="Q312" s="104">
        <f t="shared" si="73"/>
        <v>11.631371457335034</v>
      </c>
      <c r="R312" s="106">
        <f t="shared" si="67"/>
        <v>112574.607357689</v>
      </c>
      <c r="S312" s="107">
        <v>112278.38507970201</v>
      </c>
      <c r="T312" s="111"/>
      <c r="U312" s="104">
        <f t="shared" si="68"/>
        <v>0.77396907061162423</v>
      </c>
      <c r="V312" s="104">
        <f t="shared" si="69"/>
        <v>1.0398394307766345</v>
      </c>
    </row>
    <row r="313" spans="1:22">
      <c r="A313" s="44" t="s">
        <v>133</v>
      </c>
      <c r="B313" s="90">
        <v>120969</v>
      </c>
      <c r="C313" s="123">
        <f t="shared" si="66"/>
        <v>5.1492894084923302E-2</v>
      </c>
      <c r="D313" s="90">
        <v>51314</v>
      </c>
      <c r="E313" s="122">
        <f t="shared" si="75"/>
        <v>0.15880041551872082</v>
      </c>
      <c r="F313" s="44">
        <v>115267.1</v>
      </c>
      <c r="G313" s="44">
        <v>43064.82</v>
      </c>
      <c r="H313" s="92">
        <v>3.9768289774656296E-2</v>
      </c>
      <c r="I313" s="101">
        <f t="shared" si="74"/>
        <v>789748.70599013544</v>
      </c>
      <c r="J313" s="94">
        <v>0.77180599999999999</v>
      </c>
      <c r="K313" s="95">
        <f t="shared" si="70"/>
        <v>7.7180599999999999E-4</v>
      </c>
      <c r="L313" s="96">
        <v>0.6</v>
      </c>
      <c r="M313" s="104">
        <f t="shared" si="71"/>
        <v>6.3786325244161919</v>
      </c>
      <c r="N313" s="104">
        <f t="shared" si="72"/>
        <v>589.12154724999743</v>
      </c>
      <c r="O313" s="105">
        <v>581.30367290168203</v>
      </c>
      <c r="P313" s="105">
        <v>0.76662245754822167</v>
      </c>
      <c r="Q313" s="104">
        <f t="shared" si="73"/>
        <v>11.637604826299473</v>
      </c>
      <c r="R313" s="106">
        <f t="shared" si="67"/>
        <v>113278.51800958598</v>
      </c>
      <c r="S313" s="107">
        <v>112724.11215760518</v>
      </c>
      <c r="T313" s="111"/>
      <c r="U313" s="104">
        <f t="shared" si="68"/>
        <v>1.7554802316938289</v>
      </c>
      <c r="V313" s="104">
        <f t="shared" si="69"/>
        <v>2.2559395622822498</v>
      </c>
    </row>
    <row r="314" spans="1:22">
      <c r="A314" s="44" t="s">
        <v>134</v>
      </c>
      <c r="B314" s="90">
        <v>108747</v>
      </c>
      <c r="C314" s="123">
        <f t="shared" si="66"/>
        <v>2.7951602230834593E-2</v>
      </c>
      <c r="D314" s="90">
        <v>39839</v>
      </c>
      <c r="E314" s="122">
        <f t="shared" si="75"/>
        <v>-1.1193844626458227E-2</v>
      </c>
      <c r="F314" s="44">
        <v>116198.96</v>
      </c>
      <c r="G314" s="44">
        <v>40908.36</v>
      </c>
      <c r="H314" s="92">
        <v>4.0770553052425385E-2</v>
      </c>
      <c r="I314" s="101">
        <f t="shared" si="74"/>
        <v>798458.57447448035</v>
      </c>
      <c r="J314" s="94">
        <v>0.78941399999999995</v>
      </c>
      <c r="K314" s="95">
        <f t="shared" si="70"/>
        <v>7.89414E-4</v>
      </c>
      <c r="L314" s="96">
        <v>0.6</v>
      </c>
      <c r="M314" s="104">
        <f t="shared" si="71"/>
        <v>6.3687624553826403</v>
      </c>
      <c r="N314" s="104">
        <f t="shared" si="72"/>
        <v>583.335478331638</v>
      </c>
      <c r="O314" s="105">
        <v>580.32106783394181</v>
      </c>
      <c r="P314" s="105">
        <v>0.76886396070802154</v>
      </c>
      <c r="Q314" s="104">
        <f t="shared" si="73"/>
        <v>11.6420521244891</v>
      </c>
      <c r="R314" s="106">
        <f t="shared" si="67"/>
        <v>113783.42325756411</v>
      </c>
      <c r="S314" s="107">
        <v>113151.34909089129</v>
      </c>
      <c r="T314" s="111"/>
      <c r="U314" s="104">
        <f t="shared" si="68"/>
        <v>2.122925003730991</v>
      </c>
      <c r="V314" s="104">
        <f t="shared" si="69"/>
        <v>2.6933933475778993</v>
      </c>
    </row>
    <row r="315" spans="1:22">
      <c r="A315" s="44" t="s">
        <v>135</v>
      </c>
      <c r="B315" s="90">
        <v>117707</v>
      </c>
      <c r="C315" s="123">
        <f t="shared" si="66"/>
        <v>6.095868185751363E-2</v>
      </c>
      <c r="D315" s="90">
        <v>35780</v>
      </c>
      <c r="E315" s="122">
        <f t="shared" si="75"/>
        <v>0.13461233550023777</v>
      </c>
      <c r="F315" s="44">
        <v>117823.37</v>
      </c>
      <c r="G315" s="44">
        <v>39100.095999999998</v>
      </c>
      <c r="H315" s="92">
        <v>4.0770553052425385E-2</v>
      </c>
      <c r="I315" s="101">
        <f t="shared" si="74"/>
        <v>805005.07280370465</v>
      </c>
      <c r="J315" s="94">
        <v>0.79428299999999996</v>
      </c>
      <c r="K315" s="95">
        <f t="shared" si="70"/>
        <v>7.9428300000000001E-4</v>
      </c>
      <c r="L315" s="96">
        <v>0.6</v>
      </c>
      <c r="M315" s="104">
        <f t="shared" si="71"/>
        <v>6.3756896492590469</v>
      </c>
      <c r="N315" s="104">
        <f t="shared" si="72"/>
        <v>587.39038463118493</v>
      </c>
      <c r="O315" s="105">
        <v>579.60848872848896</v>
      </c>
      <c r="P315" s="105">
        <v>0.77057313414677775</v>
      </c>
      <c r="Q315" s="104">
        <f t="shared" si="73"/>
        <v>11.645421972808837</v>
      </c>
      <c r="R315" s="106">
        <f t="shared" si="67"/>
        <v>114167.50291687646</v>
      </c>
      <c r="S315" s="107">
        <v>113562.68414849426</v>
      </c>
      <c r="T315" s="111"/>
      <c r="U315" s="104">
        <f t="shared" si="68"/>
        <v>3.2021958873755141</v>
      </c>
      <c r="V315" s="104">
        <f t="shared" si="69"/>
        <v>3.7518361629551356</v>
      </c>
    </row>
    <row r="316" spans="1:22">
      <c r="A316" s="44" t="s">
        <v>136</v>
      </c>
      <c r="B316" s="90">
        <v>119971</v>
      </c>
      <c r="C316" s="123">
        <f t="shared" si="66"/>
        <v>4.3362177675349001E-2</v>
      </c>
      <c r="D316" s="90">
        <v>38808</v>
      </c>
      <c r="E316" s="122">
        <f t="shared" si="75"/>
        <v>0.20275212297774758</v>
      </c>
      <c r="F316" s="44">
        <v>118259.05</v>
      </c>
      <c r="G316" s="44">
        <v>42821.178</v>
      </c>
      <c r="H316" s="92">
        <v>4.0770553052425385E-2</v>
      </c>
      <c r="I316" s="101">
        <f t="shared" si="74"/>
        <v>815005.74877548963</v>
      </c>
      <c r="J316" s="94">
        <v>0.79954599999999998</v>
      </c>
      <c r="K316" s="95">
        <f t="shared" si="70"/>
        <v>7.9954599999999994E-4</v>
      </c>
      <c r="L316" s="96">
        <v>0.6</v>
      </c>
      <c r="M316" s="104">
        <f t="shared" si="71"/>
        <v>6.3704793852730699</v>
      </c>
      <c r="N316" s="104">
        <f t="shared" si="72"/>
        <v>584.33788473504671</v>
      </c>
      <c r="O316" s="105">
        <v>579.20296888867256</v>
      </c>
      <c r="P316" s="105">
        <v>0.77170400267724826</v>
      </c>
      <c r="Q316" s="104">
        <f t="shared" si="73"/>
        <v>11.650540614045424</v>
      </c>
      <c r="R316" s="106">
        <f t="shared" si="67"/>
        <v>114753.38358245615</v>
      </c>
      <c r="S316" s="107">
        <v>113962.61035616616</v>
      </c>
      <c r="T316" s="111"/>
      <c r="U316" s="104">
        <f t="shared" si="68"/>
        <v>3.0549569068042848</v>
      </c>
      <c r="V316" s="104">
        <f t="shared" si="69"/>
        <v>3.7700432013677343</v>
      </c>
    </row>
    <row r="317" spans="1:22">
      <c r="A317" s="44" t="s">
        <v>137</v>
      </c>
      <c r="B317" s="90">
        <v>123964</v>
      </c>
      <c r="C317" s="123">
        <f t="shared" si="66"/>
        <v>2.4758409179211238E-2</v>
      </c>
      <c r="D317" s="90">
        <v>54499</v>
      </c>
      <c r="E317" s="122">
        <f t="shared" si="75"/>
        <v>6.2068831118213375E-2</v>
      </c>
      <c r="F317" s="44">
        <v>116837</v>
      </c>
      <c r="G317" s="44">
        <v>45810.188999999998</v>
      </c>
      <c r="H317" s="92">
        <v>4.0770553052425385E-2</v>
      </c>
      <c r="I317" s="101">
        <f t="shared" si="74"/>
        <v>827587.70265700691</v>
      </c>
      <c r="J317" s="94">
        <v>0.80736200000000002</v>
      </c>
      <c r="K317" s="95">
        <f t="shared" si="70"/>
        <v>8.0736200000000005E-4</v>
      </c>
      <c r="L317" s="96">
        <v>0.6</v>
      </c>
      <c r="M317" s="104">
        <f t="shared" si="71"/>
        <v>6.3464168155469043</v>
      </c>
      <c r="N317" s="104">
        <f t="shared" si="72"/>
        <v>570.4450328308327</v>
      </c>
      <c r="O317" s="105">
        <v>579.14640530278086</v>
      </c>
      <c r="P317" s="105">
        <v>0.7722254097783493</v>
      </c>
      <c r="Q317" s="104">
        <f t="shared" si="73"/>
        <v>11.656976176791044</v>
      </c>
      <c r="R317" s="106">
        <f t="shared" si="67"/>
        <v>115494.26762859145</v>
      </c>
      <c r="S317" s="107">
        <v>114358.28366831627</v>
      </c>
      <c r="T317" s="111"/>
      <c r="U317" s="104">
        <f t="shared" si="68"/>
        <v>1.1625965504422631</v>
      </c>
      <c r="V317" s="104">
        <f t="shared" si="69"/>
        <v>2.1675004662303099</v>
      </c>
    </row>
    <row r="318" spans="1:22">
      <c r="A318" s="44" t="s">
        <v>138</v>
      </c>
      <c r="B318" s="90">
        <v>108403</v>
      </c>
      <c r="C318" s="123">
        <f t="shared" si="66"/>
        <v>-3.1633056544088101E-3</v>
      </c>
      <c r="D318" s="90">
        <v>36340</v>
      </c>
      <c r="E318" s="122">
        <f t="shared" si="75"/>
        <v>-8.7828509751750827E-2</v>
      </c>
      <c r="F318" s="44">
        <v>116435.85</v>
      </c>
      <c r="G318" s="44">
        <v>37735.966</v>
      </c>
      <c r="H318" s="92">
        <v>4.0770553052425385E-2</v>
      </c>
      <c r="I318" s="101">
        <f t="shared" si="74"/>
        <v>831582.4603202946</v>
      </c>
      <c r="J318" s="94">
        <v>0.81110599999999999</v>
      </c>
      <c r="K318" s="95">
        <f t="shared" si="70"/>
        <v>8.1110600000000002E-4</v>
      </c>
      <c r="L318" s="96">
        <v>0.6</v>
      </c>
      <c r="M318" s="104">
        <f t="shared" si="71"/>
        <v>6.3382753775910103</v>
      </c>
      <c r="N318" s="104">
        <f t="shared" si="72"/>
        <v>565.81964419478959</v>
      </c>
      <c r="O318" s="105">
        <v>579.48390428150617</v>
      </c>
      <c r="P318" s="105">
        <v>0.77212360017732384</v>
      </c>
      <c r="Q318" s="104">
        <f t="shared" si="73"/>
        <v>11.659405801764628</v>
      </c>
      <c r="R318" s="106">
        <f t="shared" si="67"/>
        <v>115775.21654757728</v>
      </c>
      <c r="S318" s="107">
        <v>114759.5453141313</v>
      </c>
      <c r="T318" s="111"/>
      <c r="U318" s="104">
        <f t="shared" si="68"/>
        <v>0.5706173325542796</v>
      </c>
      <c r="V318" s="104">
        <f t="shared" si="69"/>
        <v>1.4607104631515933</v>
      </c>
    </row>
    <row r="319" spans="1:22">
      <c r="A319" s="44" t="s">
        <v>139</v>
      </c>
      <c r="B319" s="90">
        <v>99561</v>
      </c>
      <c r="C319" s="123">
        <f t="shared" si="66"/>
        <v>-0.15416245422957009</v>
      </c>
      <c r="D319" s="90">
        <v>21170</v>
      </c>
      <c r="E319" s="122">
        <f t="shared" si="75"/>
        <v>-0.40832867523756289</v>
      </c>
      <c r="F319" s="44">
        <v>100451.96</v>
      </c>
      <c r="G319" s="44">
        <v>24488.807000000001</v>
      </c>
      <c r="H319" s="92">
        <v>4.0770553052425385E-2</v>
      </c>
      <c r="I319" s="101">
        <f t="shared" si="74"/>
        <v>822167.19050433964</v>
      </c>
      <c r="J319" s="94">
        <v>0.79341600000000001</v>
      </c>
      <c r="K319" s="95">
        <f t="shared" si="70"/>
        <v>7.9341600000000002E-4</v>
      </c>
      <c r="L319" s="96">
        <v>0.6</v>
      </c>
      <c r="M319" s="104">
        <f t="shared" si="71"/>
        <v>6.2083998258352295</v>
      </c>
      <c r="N319" s="104">
        <f t="shared" si="72"/>
        <v>496.90547945928535</v>
      </c>
      <c r="O319" s="105">
        <v>580.25513377774575</v>
      </c>
      <c r="P319" s="105">
        <v>0.77140677897030341</v>
      </c>
      <c r="Q319" s="104">
        <f t="shared" si="73"/>
        <v>11.655623844674746</v>
      </c>
      <c r="R319" s="106">
        <f t="shared" si="67"/>
        <v>115338.18658172201</v>
      </c>
      <c r="S319" s="107">
        <v>115177.78572050523</v>
      </c>
      <c r="T319" s="111"/>
      <c r="U319" s="104">
        <f t="shared" si="68"/>
        <v>-12.906589762597386</v>
      </c>
      <c r="V319" s="104">
        <f t="shared" si="69"/>
        <v>-12.785300245517362</v>
      </c>
    </row>
    <row r="320" spans="1:22">
      <c r="A320" s="44" t="s">
        <v>140</v>
      </c>
      <c r="B320" s="90">
        <v>114754</v>
      </c>
      <c r="C320" s="123">
        <f t="shared" si="66"/>
        <v>-4.3485508998007849E-2</v>
      </c>
      <c r="D320" s="90">
        <v>38081</v>
      </c>
      <c r="E320" s="122">
        <f t="shared" si="75"/>
        <v>-1.8733250876107999E-2</v>
      </c>
      <c r="F320" s="44">
        <v>114996.57</v>
      </c>
      <c r="G320" s="44">
        <v>42150.288999999997</v>
      </c>
      <c r="H320" s="92">
        <v>4.0770553052425385E-2</v>
      </c>
      <c r="I320" s="101">
        <f t="shared" si="74"/>
        <v>830797.26844591892</v>
      </c>
      <c r="J320" s="94">
        <v>0.78556099999999995</v>
      </c>
      <c r="K320" s="95">
        <f t="shared" si="70"/>
        <v>7.8556099999999994E-4</v>
      </c>
      <c r="L320" s="96">
        <v>0.6</v>
      </c>
      <c r="M320" s="104">
        <f t="shared" si="71"/>
        <v>6.345415447621356</v>
      </c>
      <c r="N320" s="104">
        <f t="shared" si="72"/>
        <v>569.87409337960298</v>
      </c>
      <c r="O320" s="105">
        <v>581.49122158184286</v>
      </c>
      <c r="P320" s="105">
        <v>0.77010751525330878</v>
      </c>
      <c r="Q320" s="104">
        <f t="shared" si="73"/>
        <v>11.660917222720713</v>
      </c>
      <c r="R320" s="106">
        <f t="shared" si="67"/>
        <v>115950.33394077506</v>
      </c>
      <c r="S320" s="107">
        <v>115625.44300476073</v>
      </c>
      <c r="T320" s="111"/>
      <c r="U320" s="104">
        <f t="shared" si="68"/>
        <v>-0.82256247857139808</v>
      </c>
      <c r="V320" s="104">
        <f t="shared" si="69"/>
        <v>-0.5438880824308101</v>
      </c>
    </row>
    <row r="321" spans="1:22">
      <c r="A321" s="44" t="s">
        <v>141</v>
      </c>
      <c r="B321" s="90">
        <v>125618</v>
      </c>
      <c r="C321" s="123">
        <f t="shared" si="66"/>
        <v>1.334258333064442E-2</v>
      </c>
      <c r="D321" s="90">
        <v>47812</v>
      </c>
      <c r="E321" s="122">
        <f t="shared" si="75"/>
        <v>-0.12269949907337752</v>
      </c>
      <c r="F321" s="44">
        <v>116182.87</v>
      </c>
      <c r="G321" s="44">
        <v>38922.67</v>
      </c>
      <c r="H321" s="92">
        <v>4.0770553052425385E-2</v>
      </c>
      <c r="I321" s="101">
        <f t="shared" si="74"/>
        <v>835847.87433693453</v>
      </c>
      <c r="J321" s="94">
        <v>0.78955200000000003</v>
      </c>
      <c r="K321" s="95">
        <f t="shared" si="70"/>
        <v>7.8955200000000001E-4</v>
      </c>
      <c r="L321" s="96">
        <v>0.6</v>
      </c>
      <c r="M321" s="104">
        <f t="shared" si="71"/>
        <v>6.3502136812741083</v>
      </c>
      <c r="N321" s="104">
        <f t="shared" si="72"/>
        <v>572.61505305600076</v>
      </c>
      <c r="O321" s="105">
        <v>583.17120195019163</v>
      </c>
      <c r="P321" s="105">
        <v>0.76827213388550442</v>
      </c>
      <c r="Q321" s="104">
        <f t="shared" si="73"/>
        <v>11.664794802346982</v>
      </c>
      <c r="R321" s="106">
        <f t="shared" si="67"/>
        <v>116400.8134139</v>
      </c>
      <c r="S321" s="107">
        <v>116105.75164314518</v>
      </c>
      <c r="T321" s="111"/>
      <c r="U321" s="104">
        <f t="shared" si="68"/>
        <v>-0.18723530146222966</v>
      </c>
      <c r="V321" s="104">
        <f t="shared" si="69"/>
        <v>6.6420789464283203E-2</v>
      </c>
    </row>
    <row r="322" spans="1:22">
      <c r="A322" s="44" t="s">
        <v>142</v>
      </c>
      <c r="B322" s="90">
        <v>108463</v>
      </c>
      <c r="C322" s="123">
        <f t="shared" si="66"/>
        <v>5.5349021706030399E-4</v>
      </c>
      <c r="D322" s="90">
        <v>30713</v>
      </c>
      <c r="E322" s="122">
        <f t="shared" si="75"/>
        <v>-0.15484314804623001</v>
      </c>
      <c r="F322" s="44">
        <v>115884.3</v>
      </c>
      <c r="G322" s="44">
        <v>32195.686000000002</v>
      </c>
      <c r="H322" s="92">
        <v>4.0770553052425385E-2</v>
      </c>
      <c r="I322" s="101">
        <f t="shared" si="74"/>
        <v>833965.5802325235</v>
      </c>
      <c r="J322" s="94">
        <v>0.79312099999999996</v>
      </c>
      <c r="K322" s="95">
        <f t="shared" si="70"/>
        <v>7.9312099999999993E-4</v>
      </c>
      <c r="L322" s="96">
        <v>0.6</v>
      </c>
      <c r="M322" s="104">
        <f t="shared" si="71"/>
        <v>6.3458362849537835</v>
      </c>
      <c r="N322" s="104">
        <f t="shared" si="72"/>
        <v>570.11396814346801</v>
      </c>
      <c r="O322" s="105">
        <v>585.26684843405985</v>
      </c>
      <c r="P322" s="105">
        <v>0.76595661815402127</v>
      </c>
      <c r="Q322" s="104">
        <f t="shared" si="73"/>
        <v>11.665669011244395</v>
      </c>
      <c r="R322" s="106">
        <f t="shared" si="67"/>
        <v>116502.61653276515</v>
      </c>
      <c r="S322" s="107">
        <v>116621.55306627795</v>
      </c>
      <c r="T322" s="111"/>
      <c r="U322" s="104">
        <f t="shared" si="68"/>
        <v>-0.53073188497123613</v>
      </c>
      <c r="V322" s="104">
        <f t="shared" si="69"/>
        <v>-0.63217565440837342</v>
      </c>
    </row>
    <row r="323" spans="1:22">
      <c r="A323" s="44" t="s">
        <v>143</v>
      </c>
      <c r="B323" s="90">
        <v>114017</v>
      </c>
      <c r="C323" s="123">
        <f t="shared" si="66"/>
        <v>0.14519741665913366</v>
      </c>
      <c r="D323" s="90">
        <v>28619</v>
      </c>
      <c r="E323" s="122">
        <f t="shared" si="75"/>
        <v>0.35186584789796882</v>
      </c>
      <c r="F323" s="44">
        <v>115734.57</v>
      </c>
      <c r="G323" s="44">
        <v>31857.198</v>
      </c>
      <c r="H323" s="92">
        <v>4.0770553052425385E-2</v>
      </c>
      <c r="I323" s="101">
        <f t="shared" si="74"/>
        <v>831821.54029975669</v>
      </c>
      <c r="J323" s="94">
        <v>0.79527099999999995</v>
      </c>
      <c r="K323" s="95">
        <f t="shared" si="70"/>
        <v>7.9527099999999996E-4</v>
      </c>
      <c r="L323" s="96">
        <v>0.6</v>
      </c>
      <c r="M323" s="104">
        <f t="shared" si="71"/>
        <v>6.3439487828881296</v>
      </c>
      <c r="N323" s="104">
        <f t="shared" si="72"/>
        <v>569.03889177455062</v>
      </c>
      <c r="O323" s="105">
        <v>587.74333699165629</v>
      </c>
      <c r="P323" s="105">
        <v>0.76323025126231181</v>
      </c>
      <c r="Q323" s="104">
        <f t="shared" si="73"/>
        <v>11.666722318333523</v>
      </c>
      <c r="R323" s="106">
        <f t="shared" si="67"/>
        <v>116625.39421461105</v>
      </c>
      <c r="S323" s="107">
        <v>117175.73690375144</v>
      </c>
      <c r="T323" s="111"/>
      <c r="U323" s="104">
        <f t="shared" si="68"/>
        <v>-0.7638338293388891</v>
      </c>
      <c r="V323" s="104">
        <f t="shared" si="69"/>
        <v>-1.2299192152170679</v>
      </c>
    </row>
    <row r="324" spans="1:22">
      <c r="A324" s="44" t="s">
        <v>144</v>
      </c>
      <c r="B324" s="90">
        <v>116382</v>
      </c>
      <c r="C324" s="123">
        <f t="shared" si="66"/>
        <v>1.4186869303030925E-2</v>
      </c>
      <c r="D324" s="90">
        <v>33793</v>
      </c>
      <c r="E324" s="122">
        <f t="shared" si="75"/>
        <v>-0.11260208502927971</v>
      </c>
      <c r="F324" s="44">
        <v>117028.59</v>
      </c>
      <c r="G324" s="44">
        <v>38126.949999999997</v>
      </c>
      <c r="H324" s="92">
        <v>4.0770553052425385E-2</v>
      </c>
      <c r="I324" s="101">
        <f t="shared" si="74"/>
        <v>836034.66606081522</v>
      </c>
      <c r="J324" s="94">
        <v>0.79668099999999997</v>
      </c>
      <c r="K324" s="95">
        <f t="shared" si="70"/>
        <v>7.9668099999999993E-4</v>
      </c>
      <c r="L324" s="96">
        <v>0.6</v>
      </c>
      <c r="M324" s="104">
        <f t="shared" si="71"/>
        <v>6.3519839585414859</v>
      </c>
      <c r="N324" s="104">
        <f t="shared" si="72"/>
        <v>573.62963825097142</v>
      </c>
      <c r="O324" s="105">
        <v>590.55637303100809</v>
      </c>
      <c r="P324" s="105">
        <v>0.76017929415248209</v>
      </c>
      <c r="Q324" s="104">
        <f t="shared" si="73"/>
        <v>11.671114664702021</v>
      </c>
      <c r="R324" s="106">
        <f t="shared" si="67"/>
        <v>117138.78000007624</v>
      </c>
      <c r="S324" s="107">
        <v>117770.73200199161</v>
      </c>
      <c r="T324" s="111"/>
      <c r="U324" s="104">
        <f t="shared" si="68"/>
        <v>-9.4067908233441688E-2</v>
      </c>
      <c r="V324" s="104">
        <f t="shared" si="69"/>
        <v>-0.63015826545007592</v>
      </c>
    </row>
    <row r="325" spans="1:22">
      <c r="A325" s="44" t="s">
        <v>145</v>
      </c>
      <c r="B325" s="90">
        <v>127100</v>
      </c>
      <c r="C325" s="123">
        <f t="shared" si="66"/>
        <v>1.1797672308108798E-2</v>
      </c>
      <c r="D325" s="90">
        <v>52663</v>
      </c>
      <c r="E325" s="122">
        <f t="shared" si="75"/>
        <v>0.1014598845478123</v>
      </c>
      <c r="F325" s="44">
        <v>117785.32</v>
      </c>
      <c r="G325" s="44">
        <v>43748.375999999997</v>
      </c>
      <c r="H325" s="92">
        <v>4.0770553052425385E-2</v>
      </c>
      <c r="I325" s="101">
        <f t="shared" si="74"/>
        <v>845697.44635451608</v>
      </c>
      <c r="J325" s="166">
        <v>0.79527599999999998</v>
      </c>
      <c r="K325" s="95">
        <f t="shared" si="70"/>
        <v>7.9527600000000003E-4</v>
      </c>
      <c r="L325" s="96">
        <v>0.6</v>
      </c>
      <c r="M325" s="104">
        <f t="shared" si="71"/>
        <v>6.354891778816536</v>
      </c>
      <c r="N325" s="104">
        <f t="shared" si="72"/>
        <v>575.30007763518017</v>
      </c>
      <c r="O325" s="105">
        <v>593.64997168188154</v>
      </c>
      <c r="P325" s="105">
        <v>0.75691003323459916</v>
      </c>
      <c r="Q325" s="104">
        <f t="shared" si="73"/>
        <v>11.678350123454024</v>
      </c>
      <c r="R325" s="106">
        <f t="shared" si="67"/>
        <v>117989.40643628636</v>
      </c>
      <c r="S325" s="107">
        <v>118408.06647810953</v>
      </c>
      <c r="T325" s="111"/>
      <c r="U325" s="104">
        <f t="shared" si="68"/>
        <v>-0.17297013558293939</v>
      </c>
      <c r="V325" s="104">
        <f t="shared" si="69"/>
        <v>-0.52593247794029407</v>
      </c>
    </row>
    <row r="326" spans="1:22">
      <c r="A326" s="44" t="s">
        <v>146</v>
      </c>
      <c r="B326" s="90">
        <v>110891</v>
      </c>
      <c r="C326" s="123">
        <f t="shared" si="66"/>
        <v>2.2385513954067182E-2</v>
      </c>
      <c r="D326" s="90">
        <v>40484</v>
      </c>
      <c r="E326" s="122">
        <f t="shared" si="75"/>
        <v>0.31813889883762569</v>
      </c>
      <c r="F326" s="44">
        <v>118165.3</v>
      </c>
      <c r="G326" s="92">
        <v>41833.752999999997</v>
      </c>
      <c r="H326" s="92">
        <v>4.0770553052425385E-2</v>
      </c>
      <c r="I326" s="101">
        <f t="shared" si="74"/>
        <v>853051.64675161859</v>
      </c>
      <c r="J326" s="221">
        <f>0.691842</f>
        <v>0.69184199999999996</v>
      </c>
      <c r="K326" s="95">
        <f>(J326/1000)</f>
        <v>6.9184199999999991E-4</v>
      </c>
      <c r="L326" s="96">
        <v>0.6</v>
      </c>
      <c r="M326" s="104">
        <f t="shared" si="71"/>
        <v>6.4382482257825409</v>
      </c>
      <c r="N326" s="104">
        <f>EXP(M326)</f>
        <v>625.31043710027188</v>
      </c>
      <c r="O326" s="105">
        <v>596.95756886480535</v>
      </c>
      <c r="P326" s="105">
        <v>0.75355156848488469</v>
      </c>
      <c r="Q326" s="104">
        <f t="shared" si="73"/>
        <v>11.684701490875502</v>
      </c>
      <c r="R326" s="106">
        <f t="shared" si="67"/>
        <v>118741.18539337319</v>
      </c>
      <c r="S326" s="107">
        <v>119088.80461046504</v>
      </c>
      <c r="T326" s="111"/>
      <c r="U326" s="104">
        <f t="shared" si="68"/>
        <v>-0.48499212085962862</v>
      </c>
      <c r="V326" s="104">
        <f t="shared" si="69"/>
        <v>-0.77547559024191415</v>
      </c>
    </row>
    <row r="327" spans="1:22">
      <c r="A327" s="44" t="s">
        <v>147</v>
      </c>
      <c r="B327" s="90">
        <v>118565</v>
      </c>
      <c r="C327" s="123">
        <f t="shared" si="66"/>
        <v>3.9888788513993578E-2</v>
      </c>
      <c r="D327" s="90">
        <v>40502</v>
      </c>
      <c r="E327" s="122">
        <f t="shared" si="75"/>
        <v>0.41521366924071423</v>
      </c>
      <c r="F327" s="44">
        <v>119194.94</v>
      </c>
      <c r="G327" s="92">
        <v>43429.82</v>
      </c>
      <c r="H327" s="92">
        <v>4.0770553052425385E-2</v>
      </c>
      <c r="I327" s="101">
        <f t="shared" si="74"/>
        <v>861702.07933127286</v>
      </c>
      <c r="J327" s="221">
        <f>0.693177</f>
        <v>0.69317700000000004</v>
      </c>
      <c r="K327" s="95">
        <f>(J327/1000)</f>
        <v>6.9317700000000001E-4</v>
      </c>
      <c r="L327" s="96">
        <v>0.6</v>
      </c>
      <c r="M327" s="104">
        <f t="shared" si="71"/>
        <v>6.4417315740243737</v>
      </c>
      <c r="N327" s="104">
        <f t="shared" si="72"/>
        <v>627.49240918998078</v>
      </c>
      <c r="O327" s="105">
        <v>600.40113181652919</v>
      </c>
      <c r="P327" s="105">
        <v>0.75025697860878893</v>
      </c>
      <c r="Q327" s="104">
        <f t="shared" si="73"/>
        <v>11.691860238778217</v>
      </c>
      <c r="R327" s="106">
        <f t="shared" si="67"/>
        <v>119594.27348333283</v>
      </c>
      <c r="S327" s="107">
        <v>119813.62146086921</v>
      </c>
      <c r="T327" s="111"/>
      <c r="U327" s="104">
        <f t="shared" si="68"/>
        <v>-0.33390686000402958</v>
      </c>
      <c r="V327" s="104">
        <f t="shared" si="69"/>
        <v>-0.51636988626645453</v>
      </c>
    </row>
    <row r="328" spans="1:22">
      <c r="A328" s="44" t="s">
        <v>148</v>
      </c>
      <c r="B328" s="90">
        <v>118656</v>
      </c>
      <c r="C328" s="123">
        <f t="shared" si="66"/>
        <v>1.953910398515224E-2</v>
      </c>
      <c r="D328" s="90">
        <v>36819</v>
      </c>
      <c r="E328" s="122">
        <f t="shared" si="75"/>
        <v>8.9545172077057478E-2</v>
      </c>
      <c r="F328" s="44">
        <v>119505.64</v>
      </c>
      <c r="G328" s="92">
        <v>41460.498</v>
      </c>
      <c r="H328" s="92">
        <v>4.0770553052425385E-2</v>
      </c>
      <c r="I328" s="101">
        <f t="shared" si="74"/>
        <v>868030.5069905119</v>
      </c>
      <c r="J328" s="221">
        <f>0.693062</f>
        <v>0.69306199999999996</v>
      </c>
      <c r="K328" s="95">
        <f>(J328/1000)</f>
        <v>6.9306199999999993E-4</v>
      </c>
      <c r="L328" s="96">
        <v>0.6</v>
      </c>
      <c r="M328" s="104">
        <f t="shared" si="71"/>
        <v>6.4415074807845452</v>
      </c>
      <c r="N328" s="104">
        <f t="shared" si="72"/>
        <v>627.35180813749867</v>
      </c>
      <c r="O328" s="105">
        <v>603.92034831644992</v>
      </c>
      <c r="P328" s="105">
        <v>0.74714077383145905</v>
      </c>
      <c r="Q328" s="104">
        <f t="shared" si="73"/>
        <v>11.698134175709422</v>
      </c>
      <c r="R328" s="106">
        <f t="shared" si="67"/>
        <v>120346.95909457702</v>
      </c>
      <c r="S328" s="107">
        <v>120582.61490075155</v>
      </c>
      <c r="T328" s="111"/>
      <c r="U328" s="104">
        <f t="shared" si="68"/>
        <v>-0.69907798327987214</v>
      </c>
      <c r="V328" s="104">
        <f t="shared" si="69"/>
        <v>-0.89314276493173139</v>
      </c>
    </row>
    <row r="329" spans="1:22">
      <c r="A329" s="44" t="s">
        <v>149</v>
      </c>
      <c r="B329" s="90">
        <v>127853</v>
      </c>
      <c r="C329" s="123">
        <f t="shared" si="66"/>
        <v>5.9244689221085167E-3</v>
      </c>
      <c r="D329" s="90">
        <v>49890</v>
      </c>
      <c r="E329" s="122">
        <f t="shared" si="75"/>
        <v>-5.2655564627917095E-2</v>
      </c>
      <c r="F329" s="44">
        <v>120015.12</v>
      </c>
      <c r="G329" s="97">
        <v>41173.264999999999</v>
      </c>
      <c r="H329" s="92">
        <v>4.0770553052425385E-2</v>
      </c>
      <c r="I329" s="101">
        <f t="shared" si="74"/>
        <v>873813.68815413152</v>
      </c>
      <c r="J329" s="221">
        <f>0.690053</f>
        <v>0.69005300000000003</v>
      </c>
      <c r="K329" s="95">
        <f>(J329/1000)</f>
        <v>6.9005300000000004E-4</v>
      </c>
      <c r="L329" s="96">
        <v>0.6</v>
      </c>
      <c r="M329" s="104">
        <f t="shared" si="71"/>
        <v>6.4457161532887222</v>
      </c>
      <c r="N329" s="104">
        <f t="shared" si="72"/>
        <v>629.99769036321425</v>
      </c>
      <c r="O329" s="105">
        <v>607.47183819232282</v>
      </c>
      <c r="P329" s="105">
        <v>0.74428178939141176</v>
      </c>
      <c r="Q329" s="104">
        <f t="shared" si="73"/>
        <v>11.704353461436501</v>
      </c>
      <c r="R329" s="106">
        <f t="shared" si="67"/>
        <v>121097.76353317463</v>
      </c>
      <c r="S329" s="107">
        <v>121395.49612562852</v>
      </c>
      <c r="T329" s="111"/>
      <c r="U329" s="104">
        <f t="shared" si="68"/>
        <v>-0.89402438293424424</v>
      </c>
      <c r="V329" s="104">
        <f t="shared" si="69"/>
        <v>-1.1370900648571158</v>
      </c>
    </row>
    <row r="330" spans="1:22">
      <c r="A330" s="199" t="s">
        <v>245</v>
      </c>
      <c r="B330" s="200">
        <v>114106.83900000001</v>
      </c>
      <c r="C330" s="201">
        <v>2.9000000000000001E-2</v>
      </c>
      <c r="D330" s="200">
        <v>42548.684000000001</v>
      </c>
      <c r="E330" s="201">
        <v>5.0999999999999997E-2</v>
      </c>
      <c r="F330" s="200">
        <v>121081.24</v>
      </c>
      <c r="G330" s="200">
        <v>43757.19</v>
      </c>
      <c r="H330" s="202">
        <v>4.0770553052425385E-2</v>
      </c>
      <c r="I330" s="203">
        <v>879627.02562012</v>
      </c>
      <c r="J330" s="204">
        <f>0.713233643*(1+E6/4)</f>
        <v>0.71323364300000003</v>
      </c>
      <c r="K330" s="203"/>
      <c r="L330" s="203">
        <v>0.6</v>
      </c>
      <c r="M330" s="203">
        <f t="shared" si="71"/>
        <v>6.4320834327333101</v>
      </c>
      <c r="N330" s="203">
        <f t="shared" si="72"/>
        <v>621.46738564363034</v>
      </c>
      <c r="O330" s="203">
        <v>611.02686593429132</v>
      </c>
      <c r="P330" s="203">
        <v>0.74172506129351912</v>
      </c>
      <c r="Q330" s="203">
        <f t="shared" si="73"/>
        <v>11.710776248380334</v>
      </c>
      <c r="R330" s="203">
        <f t="shared" si="67"/>
        <v>121878.05179798113</v>
      </c>
      <c r="S330" s="203">
        <v>122251.30322170361</v>
      </c>
      <c r="T330" s="203"/>
      <c r="U330" s="203">
        <f t="shared" ref="U330:U341" si="76">(F330/R330-1)*100</f>
        <v>-0.65377792492274933</v>
      </c>
      <c r="V330" s="203">
        <f t="shared" ref="V330:V341" si="77">(F330/S330-1)*100</f>
        <v>-0.95709672688043534</v>
      </c>
    </row>
    <row r="331" spans="1:22">
      <c r="A331" s="199" t="s">
        <v>246</v>
      </c>
      <c r="B331" s="200">
        <v>122003.38499999999</v>
      </c>
      <c r="C331" s="205">
        <v>2.8999999999999915E-2</v>
      </c>
      <c r="D331" s="200">
        <v>42567.601999999999</v>
      </c>
      <c r="E331" s="205">
        <v>5.0999999999999934E-2</v>
      </c>
      <c r="F331" s="200">
        <v>122006.53</v>
      </c>
      <c r="G331" s="200">
        <v>45214.550999999999</v>
      </c>
      <c r="H331" s="202">
        <v>4.0770553052425385E-2</v>
      </c>
      <c r="I331" s="203">
        <v>886331.74730572768</v>
      </c>
      <c r="J331" s="204">
        <f>0.715287242933*(1+E6/4)</f>
        <v>0.71528724293299994</v>
      </c>
      <c r="K331" s="203"/>
      <c r="L331" s="203">
        <v>0.6</v>
      </c>
      <c r="M331" s="203">
        <f t="shared" si="71"/>
        <v>6.4349338571785797</v>
      </c>
      <c r="N331" s="203">
        <f t="shared" si="72"/>
        <v>623.2413585583721</v>
      </c>
      <c r="O331" s="203">
        <v>614.57077469010562</v>
      </c>
      <c r="P331" s="203">
        <v>0.7394817325492834</v>
      </c>
      <c r="Q331" s="203">
        <f t="shared" si="73"/>
        <v>11.717779313917749</v>
      </c>
      <c r="R331" s="203">
        <f t="shared" si="67"/>
        <v>122734.56739923972</v>
      </c>
      <c r="S331" s="203">
        <v>123148.21154010179</v>
      </c>
      <c r="T331" s="203"/>
      <c r="U331" s="203">
        <f t="shared" si="76"/>
        <v>-0.59318040114282322</v>
      </c>
      <c r="V331" s="203">
        <f t="shared" si="77"/>
        <v>-0.92707926962465326</v>
      </c>
    </row>
    <row r="332" spans="1:22">
      <c r="A332" s="199" t="s">
        <v>247</v>
      </c>
      <c r="B332" s="200">
        <v>122097.024</v>
      </c>
      <c r="C332" s="205">
        <v>2.9000000000000137E-2</v>
      </c>
      <c r="D332" s="200">
        <v>38696.769</v>
      </c>
      <c r="E332" s="205">
        <v>5.0999999999999934E-2</v>
      </c>
      <c r="F332" s="200">
        <v>123059.84</v>
      </c>
      <c r="G332" s="200">
        <v>43567.118000000002</v>
      </c>
      <c r="H332" s="202">
        <v>4.0770553052425385E-2</v>
      </c>
      <c r="I332" s="203">
        <v>888892.28078015056</v>
      </c>
      <c r="J332" s="204">
        <f>0.715235904530923*(1+E6/4)</f>
        <v>0.71523590453092301</v>
      </c>
      <c r="K332" s="203"/>
      <c r="L332" s="203">
        <v>0.6</v>
      </c>
      <c r="M332" s="203">
        <f t="shared" si="71"/>
        <v>6.4424191974225229</v>
      </c>
      <c r="N332" s="203">
        <f t="shared" si="72"/>
        <v>627.92403603405251</v>
      </c>
      <c r="O332" s="203">
        <v>618.09543293233412</v>
      </c>
      <c r="P332" s="203">
        <v>0.73754513903377328</v>
      </c>
      <c r="Q332" s="203">
        <f t="shared" si="73"/>
        <v>11.723078610724755</v>
      </c>
      <c r="R332" s="203">
        <f t="shared" si="67"/>
        <v>123386.70069819267</v>
      </c>
      <c r="S332" s="203">
        <v>124083.66514243445</v>
      </c>
      <c r="T332" s="203"/>
      <c r="U332" s="203">
        <f t="shared" si="76"/>
        <v>-0.26490756000695503</v>
      </c>
      <c r="V332" s="203">
        <f t="shared" si="77"/>
        <v>-0.82510872100627353</v>
      </c>
    </row>
    <row r="333" spans="1:22">
      <c r="A333" s="199" t="s">
        <v>248</v>
      </c>
      <c r="B333" s="200">
        <v>131560.73699999999</v>
      </c>
      <c r="C333" s="205">
        <v>2.8999999999999915E-2</v>
      </c>
      <c r="D333" s="200">
        <v>52434.39</v>
      </c>
      <c r="E333" s="205">
        <v>5.0999999999999934E-2</v>
      </c>
      <c r="F333" s="200">
        <v>124203.56</v>
      </c>
      <c r="G333" s="200">
        <v>43839.449000000001</v>
      </c>
      <c r="H333" s="202">
        <v>4.0770553052425385E-2</v>
      </c>
      <c r="I333" s="203">
        <v>905086.04088871204</v>
      </c>
      <c r="J333" s="204">
        <f>0.712225313040459*(1+E6/4)</f>
        <v>0.712225313040459</v>
      </c>
      <c r="K333" s="203"/>
      <c r="L333" s="203">
        <v>0.6</v>
      </c>
      <c r="M333" s="203">
        <f t="shared" si="71"/>
        <v>6.4469795751679264</v>
      </c>
      <c r="N333" s="203">
        <f t="shared" si="72"/>
        <v>630.79414625302161</v>
      </c>
      <c r="O333" s="203">
        <v>621.5981282484629</v>
      </c>
      <c r="P333" s="203">
        <v>0.7358934950660474</v>
      </c>
      <c r="Q333" s="203">
        <f t="shared" si="73"/>
        <v>11.734605977143779</v>
      </c>
      <c r="R333" s="203">
        <f t="shared" si="67"/>
        <v>124817.25382242005</v>
      </c>
      <c r="S333" s="203">
        <v>125054.39453935038</v>
      </c>
      <c r="T333" s="203"/>
      <c r="U333" s="203">
        <f t="shared" si="76"/>
        <v>-0.49167387009906305</v>
      </c>
      <c r="V333" s="203">
        <f t="shared" si="77"/>
        <v>-0.68037156349803896</v>
      </c>
    </row>
    <row r="334" spans="1:22">
      <c r="A334" s="199" t="s">
        <v>249</v>
      </c>
      <c r="B334" s="200">
        <v>118785.21939900001</v>
      </c>
      <c r="C334" s="201">
        <v>4.1000000000000002E-2</v>
      </c>
      <c r="D334" s="200">
        <v>45867.481352000003</v>
      </c>
      <c r="E334" s="201">
        <v>7.8E-2</v>
      </c>
      <c r="F334" s="200">
        <v>125504.29</v>
      </c>
      <c r="G334" s="200">
        <v>46979.576999999997</v>
      </c>
      <c r="H334" s="202">
        <v>4.0770553052425385E-2</v>
      </c>
      <c r="I334" s="203">
        <v>914052.66379364918</v>
      </c>
      <c r="J334" s="204">
        <f>0.740336521434*(1+E6/4)</f>
        <v>0.74033652143399997</v>
      </c>
      <c r="K334" s="203"/>
      <c r="L334" s="203">
        <v>0.6</v>
      </c>
      <c r="M334" s="203">
        <f t="shared" si="71"/>
        <v>6.4302280955904578</v>
      </c>
      <c r="N334" s="203">
        <f t="shared" si="72"/>
        <v>620.31542308987878</v>
      </c>
      <c r="O334" s="203">
        <v>625.08229110291666</v>
      </c>
      <c r="P334" s="203">
        <v>0.73449107169360006</v>
      </c>
      <c r="Q334" s="203">
        <f t="shared" si="73"/>
        <v>11.742994230516423</v>
      </c>
      <c r="R334" s="203">
        <f t="shared" si="67"/>
        <v>125868.65612224408</v>
      </c>
      <c r="S334" s="203">
        <v>126056.49035078441</v>
      </c>
      <c r="T334" s="203"/>
      <c r="U334" s="203">
        <f t="shared" si="76"/>
        <v>-0.28948122071805749</v>
      </c>
      <c r="V334" s="203">
        <f t="shared" si="77"/>
        <v>-0.43805784949888515</v>
      </c>
    </row>
    <row r="335" spans="1:22">
      <c r="A335" s="199" t="s">
        <v>250</v>
      </c>
      <c r="B335" s="200">
        <v>127005.523785</v>
      </c>
      <c r="C335" s="205">
        <v>4.0999999999999925E-2</v>
      </c>
      <c r="D335" s="200">
        <v>45887.874956</v>
      </c>
      <c r="E335" s="205">
        <v>7.8000000000000069E-2</v>
      </c>
      <c r="F335" s="200">
        <v>126830.78</v>
      </c>
      <c r="G335" s="200">
        <v>48358.239000000001</v>
      </c>
      <c r="H335" s="202">
        <v>4.0770553052425385E-2</v>
      </c>
      <c r="I335" s="203">
        <v>922674.10612773942</v>
      </c>
      <c r="J335" s="204">
        <f>0.742468158164454*(1+E6/4)</f>
        <v>0.742468158164454</v>
      </c>
      <c r="K335" s="203"/>
      <c r="L335" s="203">
        <v>0.6</v>
      </c>
      <c r="M335" s="203">
        <f t="shared" si="71"/>
        <v>6.4352616643106764</v>
      </c>
      <c r="N335" s="203">
        <f t="shared" si="72"/>
        <v>623.44569501036847</v>
      </c>
      <c r="O335" s="203">
        <v>628.55709947137302</v>
      </c>
      <c r="P335" s="203">
        <v>0.73328734735015977</v>
      </c>
      <c r="Q335" s="203">
        <f t="shared" si="73"/>
        <v>11.751308839245805</v>
      </c>
      <c r="R335" s="203">
        <f t="shared" si="67"/>
        <v>126919.56765393399</v>
      </c>
      <c r="S335" s="203">
        <v>127085.51142508427</v>
      </c>
      <c r="T335" s="203"/>
      <c r="U335" s="203">
        <f t="shared" si="76"/>
        <v>-6.9955843354341241E-2</v>
      </c>
      <c r="V335" s="203">
        <f t="shared" si="77"/>
        <v>-0.2004409646920613</v>
      </c>
    </row>
    <row r="336" spans="1:22">
      <c r="A336" s="199" t="s">
        <v>251</v>
      </c>
      <c r="B336" s="200">
        <v>127103.001984</v>
      </c>
      <c r="C336" s="205">
        <v>4.0999999999999925E-2</v>
      </c>
      <c r="D336" s="200">
        <v>41715.116982</v>
      </c>
      <c r="E336" s="205">
        <v>7.8000000000000069E-2</v>
      </c>
      <c r="F336" s="200">
        <v>128249.2</v>
      </c>
      <c r="G336" s="200">
        <v>46753.300999999999</v>
      </c>
      <c r="H336" s="202">
        <v>4.0770553052425385E-2</v>
      </c>
      <c r="I336" s="203">
        <v>926771.28951575921</v>
      </c>
      <c r="J336" s="204">
        <f>0.742414868903098*(1+E6/4)</f>
        <v>0.74241486890309805</v>
      </c>
      <c r="K336" s="203"/>
      <c r="L336" s="203">
        <v>0.6</v>
      </c>
      <c r="M336" s="203">
        <f t="shared" si="71"/>
        <v>6.4446539297372105</v>
      </c>
      <c r="N336" s="203">
        <f t="shared" si="72"/>
        <v>629.32884727244323</v>
      </c>
      <c r="O336" s="203">
        <v>632.02875203700148</v>
      </c>
      <c r="P336" s="203">
        <v>0.73223545387554267</v>
      </c>
      <c r="Q336" s="203">
        <f t="shared" si="73"/>
        <v>11.757727828968719</v>
      </c>
      <c r="R336" s="203">
        <f t="shared" si="67"/>
        <v>127736.88341873947</v>
      </c>
      <c r="S336" s="203">
        <v>128136.67148537845</v>
      </c>
      <c r="T336" s="203"/>
      <c r="U336" s="203">
        <f t="shared" si="76"/>
        <v>0.40107177155801477</v>
      </c>
      <c r="V336" s="203">
        <f t="shared" si="77"/>
        <v>8.7819133521338522E-2</v>
      </c>
    </row>
    <row r="337" spans="1:22">
      <c r="A337" s="199" t="s">
        <v>252</v>
      </c>
      <c r="B337" s="200">
        <v>136954.72721700001</v>
      </c>
      <c r="C337" s="205">
        <v>4.1000000000000147E-2</v>
      </c>
      <c r="D337" s="200">
        <v>56524.272420000001</v>
      </c>
      <c r="E337" s="205">
        <v>7.8000000000000069E-2</v>
      </c>
      <c r="F337" s="200">
        <v>129684.38</v>
      </c>
      <c r="G337" s="200">
        <v>47957.932000000001</v>
      </c>
      <c r="H337" s="202">
        <v>4.0770553052425385E-2</v>
      </c>
      <c r="I337" s="203">
        <v>945510.58390909235</v>
      </c>
      <c r="J337" s="204">
        <f>0.739289874935996*(1+E6/4)</f>
        <v>0.73928987493599596</v>
      </c>
      <c r="K337" s="203"/>
      <c r="L337" s="203">
        <v>0.6</v>
      </c>
      <c r="M337" s="203">
        <f t="shared" si="71"/>
        <v>6.4503058960789952</v>
      </c>
      <c r="N337" s="203">
        <f t="shared" si="72"/>
        <v>632.8958635675541</v>
      </c>
      <c r="O337" s="203">
        <v>635.50025285518336</v>
      </c>
      <c r="P337" s="203">
        <v>0.7312942611163239</v>
      </c>
      <c r="Q337" s="203">
        <f t="shared" si="73"/>
        <v>11.770441020365601</v>
      </c>
      <c r="R337" s="203">
        <f t="shared" si="67"/>
        <v>129371.1935024444</v>
      </c>
      <c r="S337" s="203">
        <v>129205.02504765475</v>
      </c>
      <c r="T337" s="203"/>
      <c r="U337" s="203">
        <f t="shared" si="76"/>
        <v>0.24208364248390346</v>
      </c>
      <c r="V337" s="203">
        <f t="shared" si="77"/>
        <v>0.37100333533348628</v>
      </c>
    </row>
    <row r="338" spans="1:22">
      <c r="A338" s="199" t="s">
        <v>253</v>
      </c>
      <c r="B338" s="200">
        <v>124724.48036895001</v>
      </c>
      <c r="C338" s="201">
        <v>0.05</v>
      </c>
      <c r="D338" s="200">
        <v>49766.217266920001</v>
      </c>
      <c r="E338" s="201">
        <v>8.5000000000000006E-2</v>
      </c>
      <c r="F338" s="200">
        <v>131638.76</v>
      </c>
      <c r="G338" s="200">
        <v>50843.773000000001</v>
      </c>
      <c r="H338" s="202">
        <v>4.0770553052425385E-2</v>
      </c>
      <c r="I338" s="203">
        <v>956727.81175311701</v>
      </c>
      <c r="J338" s="207">
        <f>0.740336521434*(1+E6/4)</f>
        <v>0.74033652143399997</v>
      </c>
      <c r="K338" s="203"/>
      <c r="L338" s="203">
        <v>0.6</v>
      </c>
      <c r="M338" s="203">
        <f t="shared" si="71"/>
        <v>6.4596973611601536</v>
      </c>
      <c r="N338" s="203">
        <f t="shared" si="72"/>
        <v>638.86768113573601</v>
      </c>
      <c r="O338" s="203">
        <v>638.97291854082209</v>
      </c>
      <c r="P338" s="203">
        <v>0.73042900105347086</v>
      </c>
      <c r="Q338" s="203">
        <f t="shared" si="73"/>
        <v>11.779897810313649</v>
      </c>
      <c r="R338" s="203">
        <f t="shared" si="67"/>
        <v>130600.43287300447</v>
      </c>
      <c r="S338" s="203">
        <v>130285.69695822262</v>
      </c>
      <c r="T338" s="203"/>
      <c r="U338" s="203">
        <f t="shared" si="76"/>
        <v>0.79504110679726736</v>
      </c>
      <c r="V338" s="203">
        <f t="shared" si="77"/>
        <v>1.0385353675555598</v>
      </c>
    </row>
    <row r="339" spans="1:22">
      <c r="A339" s="199" t="s">
        <v>254</v>
      </c>
      <c r="B339" s="200">
        <v>133355.79997425</v>
      </c>
      <c r="C339" s="205">
        <v>5.0000000000000044E-2</v>
      </c>
      <c r="D339" s="200">
        <v>49788.344327259998</v>
      </c>
      <c r="E339" s="205">
        <v>8.4999999999999964E-2</v>
      </c>
      <c r="F339" s="200">
        <v>133120.19</v>
      </c>
      <c r="G339" s="200">
        <v>52178.046000000002</v>
      </c>
      <c r="H339" s="202">
        <v>4.0770553052425385E-2</v>
      </c>
      <c r="I339" s="203">
        <v>967509.83407456579</v>
      </c>
      <c r="J339" s="207">
        <f>0.742468158164454*(1+E6/4)</f>
        <v>0.742468158164454</v>
      </c>
      <c r="K339" s="203"/>
      <c r="L339" s="203">
        <v>0.6</v>
      </c>
      <c r="M339" s="203">
        <f t="shared" si="71"/>
        <v>6.4646805123477531</v>
      </c>
      <c r="N339" s="203">
        <f t="shared" si="72"/>
        <v>642.05920068766841</v>
      </c>
      <c r="O339" s="203">
        <v>642.44643796551634</v>
      </c>
      <c r="P339" s="203">
        <v>0.72960990292658812</v>
      </c>
      <c r="Q339" s="203">
        <f t="shared" si="73"/>
        <v>11.789128635226756</v>
      </c>
      <c r="R339" s="203">
        <f t="shared" si="67"/>
        <v>131811.56387169077</v>
      </c>
      <c r="S339" s="203">
        <v>131374.1116602367</v>
      </c>
      <c r="T339" s="203"/>
      <c r="U339" s="203">
        <f t="shared" si="76"/>
        <v>0.99280069962837114</v>
      </c>
      <c r="V339" s="203">
        <f t="shared" si="77"/>
        <v>1.3290885987332635</v>
      </c>
    </row>
    <row r="340" spans="1:22">
      <c r="A340" s="199" t="s">
        <v>255</v>
      </c>
      <c r="B340" s="200">
        <v>133458.1520832</v>
      </c>
      <c r="C340" s="205">
        <v>5.0000000000000044E-2</v>
      </c>
      <c r="D340" s="200">
        <v>45260.901925469996</v>
      </c>
      <c r="E340" s="205">
        <v>8.4999999999999964E-2</v>
      </c>
      <c r="F340" s="200">
        <v>134489.4</v>
      </c>
      <c r="G340" s="200">
        <v>50383.993000000002</v>
      </c>
      <c r="H340" s="202">
        <v>4.0770553052425385E-2</v>
      </c>
      <c r="I340" s="203">
        <v>973324.82498115546</v>
      </c>
      <c r="J340" s="207">
        <f>0.742414868903098*(1+E6/4)</f>
        <v>0.74241486890309805</v>
      </c>
      <c r="K340" s="203"/>
      <c r="L340" s="203">
        <v>0.6</v>
      </c>
      <c r="M340" s="203">
        <f t="shared" si="71"/>
        <v>6.4725596486099892</v>
      </c>
      <c r="N340" s="203">
        <f t="shared" si="72"/>
        <v>647.13805483533986</v>
      </c>
      <c r="O340" s="203">
        <v>645.92043422748668</v>
      </c>
      <c r="P340" s="203">
        <v>0.72881338817551811</v>
      </c>
      <c r="Q340" s="203">
        <f t="shared" si="73"/>
        <v>11.796263049173927</v>
      </c>
      <c r="R340" s="203">
        <f t="shared" si="67"/>
        <v>132755.3247185449</v>
      </c>
      <c r="S340" s="203">
        <v>132466.53926125276</v>
      </c>
      <c r="T340" s="203"/>
      <c r="U340" s="203">
        <f t="shared" si="76"/>
        <v>1.3062190048734434</v>
      </c>
      <c r="V340" s="203">
        <f t="shared" si="77"/>
        <v>1.5270729876604605</v>
      </c>
    </row>
    <row r="341" spans="1:22">
      <c r="A341" s="199" t="s">
        <v>256</v>
      </c>
      <c r="B341" s="200">
        <v>143802.46357784999</v>
      </c>
      <c r="C341" s="205">
        <v>4.9999999999999822E-2</v>
      </c>
      <c r="D341" s="200">
        <v>61328.835575700003</v>
      </c>
      <c r="E341" s="205">
        <v>8.4999999999999964E-2</v>
      </c>
      <c r="F341" s="200">
        <v>135759.23000000001</v>
      </c>
      <c r="G341" s="200">
        <v>52726.178999999996</v>
      </c>
      <c r="H341" s="202">
        <v>4.0770553052425385E-2</v>
      </c>
      <c r="I341" s="203">
        <v>994970.66914271866</v>
      </c>
      <c r="J341" s="207">
        <f>0.739289874935996*(1+E6/4)</f>
        <v>0.73928987493599596</v>
      </c>
      <c r="K341" s="203"/>
      <c r="L341" s="203">
        <v>0.6</v>
      </c>
      <c r="M341" s="203">
        <f t="shared" si="71"/>
        <v>6.4756899223274011</v>
      </c>
      <c r="N341" s="203">
        <f t="shared" si="72"/>
        <v>649.16694791858026</v>
      </c>
      <c r="O341" s="203">
        <v>649.3942884016551</v>
      </c>
      <c r="P341" s="203">
        <v>0.72802391464962712</v>
      </c>
      <c r="Q341" s="203">
        <f t="shared" si="73"/>
        <v>11.809774650501208</v>
      </c>
      <c r="R341" s="203">
        <f t="shared" si="67"/>
        <v>134561.2346332829</v>
      </c>
      <c r="S341" s="203">
        <v>133560.34116778895</v>
      </c>
      <c r="T341" s="203"/>
      <c r="U341" s="203">
        <f t="shared" si="76"/>
        <v>0.89029754370342218</v>
      </c>
      <c r="V341" s="203">
        <f t="shared" si="77"/>
        <v>1.6463635934027998</v>
      </c>
    </row>
    <row r="342" spans="1:22">
      <c r="B342" s="54"/>
      <c r="C342" s="55"/>
      <c r="D342" s="54"/>
      <c r="E342" s="55"/>
      <c r="G342" s="60"/>
      <c r="H342" s="56"/>
      <c r="I342" s="57"/>
      <c r="J342" s="58"/>
      <c r="M342" s="56"/>
    </row>
    <row r="343" spans="1:22">
      <c r="M343" s="56"/>
    </row>
    <row r="344" spans="1:22">
      <c r="M344" s="56"/>
    </row>
    <row r="345" spans="1:22">
      <c r="M345" s="56"/>
    </row>
    <row r="346" spans="1:22">
      <c r="M346" s="56"/>
    </row>
    <row r="347" spans="1:22">
      <c r="M347" s="56"/>
    </row>
    <row r="348" spans="1:22">
      <c r="M348" s="56"/>
    </row>
    <row r="349" spans="1:22">
      <c r="M349" s="56"/>
    </row>
    <row r="350" spans="1:22">
      <c r="M350" s="56"/>
    </row>
    <row r="351" spans="1:22">
      <c r="M351" s="56"/>
    </row>
    <row r="352" spans="1:22">
      <c r="M352" s="56"/>
    </row>
    <row r="353" spans="13:13">
      <c r="M353" s="56"/>
    </row>
    <row r="354" spans="13:13">
      <c r="M354" s="56"/>
    </row>
    <row r="355" spans="13:13">
      <c r="M355" s="56"/>
    </row>
    <row r="356" spans="13:13">
      <c r="M356" s="56"/>
    </row>
    <row r="357" spans="13:13">
      <c r="M357" s="56"/>
    </row>
    <row r="358" spans="13:13">
      <c r="M358" s="56"/>
    </row>
    <row r="359" spans="13:13">
      <c r="M359" s="56"/>
    </row>
    <row r="360" spans="13:13">
      <c r="M360" s="56"/>
    </row>
    <row r="361" spans="13:13">
      <c r="M361" s="56"/>
    </row>
    <row r="362" spans="13:13">
      <c r="M362" s="56"/>
    </row>
    <row r="363" spans="13:13">
      <c r="M363" s="56"/>
    </row>
    <row r="364" spans="13:13">
      <c r="M364" s="56"/>
    </row>
    <row r="365" spans="13:13">
      <c r="M365" s="56"/>
    </row>
    <row r="366" spans="13:13">
      <c r="M366" s="56"/>
    </row>
    <row r="367" spans="13:13">
      <c r="M367" s="56"/>
    </row>
    <row r="368" spans="13:13">
      <c r="M368" s="56"/>
    </row>
    <row r="369" spans="13:13">
      <c r="M369" s="56"/>
    </row>
    <row r="370" spans="13:13">
      <c r="M370" s="56"/>
    </row>
    <row r="371" spans="13:13">
      <c r="M371" s="56"/>
    </row>
    <row r="372" spans="13:13">
      <c r="M372" s="56"/>
    </row>
    <row r="373" spans="13:13">
      <c r="M373" s="56"/>
    </row>
    <row r="374" spans="13:13">
      <c r="M374" s="56"/>
    </row>
    <row r="375" spans="13:13">
      <c r="M375" s="56"/>
    </row>
    <row r="376" spans="13:13">
      <c r="M376" s="56"/>
    </row>
    <row r="377" spans="13:13">
      <c r="M377" s="56"/>
    </row>
    <row r="378" spans="13:13">
      <c r="M378" s="56"/>
    </row>
    <row r="379" spans="13:13">
      <c r="M379" s="56"/>
    </row>
    <row r="380" spans="13:13">
      <c r="M380" s="56"/>
    </row>
    <row r="381" spans="13:13">
      <c r="M381" s="56"/>
    </row>
    <row r="382" spans="13:13">
      <c r="M382" s="56"/>
    </row>
    <row r="383" spans="13:13">
      <c r="M383" s="56"/>
    </row>
    <row r="384" spans="13:13">
      <c r="M384" s="56"/>
    </row>
    <row r="385" spans="13:13">
      <c r="M385" s="56"/>
    </row>
    <row r="386" spans="13:13">
      <c r="M386" s="56"/>
    </row>
    <row r="387" spans="13:13">
      <c r="M387" s="56"/>
    </row>
    <row r="388" spans="13:13">
      <c r="M388" s="56"/>
    </row>
    <row r="389" spans="13:13">
      <c r="M389" s="56"/>
    </row>
    <row r="390" spans="13:13">
      <c r="M390" s="56"/>
    </row>
    <row r="391" spans="13:13">
      <c r="M391" s="56"/>
    </row>
    <row r="392" spans="13:13">
      <c r="M392" s="56"/>
    </row>
    <row r="393" spans="13:13">
      <c r="M393" s="56"/>
    </row>
    <row r="394" spans="13:13">
      <c r="M394" s="56"/>
    </row>
    <row r="395" spans="13:13">
      <c r="M395" s="56"/>
    </row>
    <row r="396" spans="13:13">
      <c r="M396" s="56"/>
    </row>
    <row r="397" spans="13:13">
      <c r="M397" s="56"/>
    </row>
    <row r="398" spans="13:13">
      <c r="M398" s="56"/>
    </row>
    <row r="399" spans="13:13">
      <c r="M399" s="56"/>
    </row>
    <row r="400" spans="13:13">
      <c r="M400" s="56"/>
    </row>
    <row r="401" spans="13:13">
      <c r="M401" s="56"/>
    </row>
    <row r="402" spans="13:13">
      <c r="M402" s="56"/>
    </row>
    <row r="403" spans="13:13">
      <c r="M403" s="56"/>
    </row>
    <row r="404" spans="13:13">
      <c r="M404" s="56"/>
    </row>
    <row r="405" spans="13:13">
      <c r="M405" s="56"/>
    </row>
    <row r="406" spans="13:13">
      <c r="M406" s="56"/>
    </row>
    <row r="407" spans="13:13">
      <c r="M407" s="56"/>
    </row>
    <row r="408" spans="13:13">
      <c r="M408" s="56"/>
    </row>
    <row r="409" spans="13:13">
      <c r="M409" s="56"/>
    </row>
    <row r="410" spans="13:13">
      <c r="M410" s="56"/>
    </row>
    <row r="411" spans="13:13">
      <c r="M411" s="56"/>
    </row>
    <row r="412" spans="13:13">
      <c r="M412" s="56"/>
    </row>
    <row r="413" spans="13:13">
      <c r="M413" s="56"/>
    </row>
    <row r="414" spans="13:13">
      <c r="M414" s="56"/>
    </row>
    <row r="415" spans="13:13">
      <c r="M415" s="56"/>
    </row>
    <row r="416" spans="13:13">
      <c r="M416" s="56"/>
    </row>
    <row r="417" spans="13:13">
      <c r="M417" s="56"/>
    </row>
    <row r="418" spans="13:13">
      <c r="M418" s="56"/>
    </row>
    <row r="419" spans="13:13">
      <c r="M419" s="56"/>
    </row>
    <row r="420" spans="13:13">
      <c r="M420" s="56"/>
    </row>
    <row r="421" spans="13:13">
      <c r="M421" s="56"/>
    </row>
    <row r="422" spans="13:13">
      <c r="M422" s="56"/>
    </row>
    <row r="423" spans="13:13">
      <c r="M423" s="56"/>
    </row>
    <row r="424" spans="13:13">
      <c r="M424" s="56"/>
    </row>
    <row r="425" spans="13:13">
      <c r="M425" s="56"/>
    </row>
    <row r="426" spans="13:13">
      <c r="M426" s="56"/>
    </row>
    <row r="427" spans="13:13">
      <c r="M427" s="56"/>
    </row>
    <row r="428" spans="13:13">
      <c r="M428" s="56"/>
    </row>
  </sheetData>
  <mergeCells count="5">
    <mergeCell ref="D2:E2"/>
    <mergeCell ref="F2:H2"/>
    <mergeCell ref="D8:E8"/>
    <mergeCell ref="D10:E10"/>
    <mergeCell ref="D9:E9"/>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24"/>
  <sheetViews>
    <sheetView topLeftCell="A2" workbookViewId="0">
      <selection activeCell="H11" sqref="H11"/>
    </sheetView>
  </sheetViews>
  <sheetFormatPr defaultColWidth="8.88671875" defaultRowHeight="14.4"/>
  <cols>
    <col min="1" max="1" width="8.88671875" style="13"/>
    <col min="2" max="2" width="50.88671875" style="13" bestFit="1" customWidth="1"/>
    <col min="3" max="3" width="22" style="13" bestFit="1" customWidth="1"/>
    <col min="4" max="4" width="28.33203125" style="13" customWidth="1"/>
    <col min="5" max="5" width="17.33203125" style="13" bestFit="1" customWidth="1"/>
    <col min="6" max="6" width="18.88671875" style="13" bestFit="1" customWidth="1"/>
    <col min="7" max="7" width="35.33203125" style="13" customWidth="1"/>
    <col min="8" max="8" width="12.5546875" style="13" bestFit="1" customWidth="1"/>
    <col min="9" max="9" width="8.88671875" style="13"/>
    <col min="10" max="10" width="38.6640625" style="13" customWidth="1"/>
    <col min="11" max="11" width="71.6640625" style="13" bestFit="1" customWidth="1"/>
    <col min="12" max="16384" width="8.88671875" style="13"/>
  </cols>
  <sheetData>
    <row r="1" spans="2:10">
      <c r="B1" s="67"/>
      <c r="C1" s="67"/>
      <c r="D1" s="67"/>
      <c r="E1" s="67"/>
      <c r="F1" s="67"/>
      <c r="G1" s="67"/>
    </row>
    <row r="2" spans="2:10">
      <c r="B2" s="245"/>
      <c r="C2" s="246"/>
      <c r="D2" s="192" t="s">
        <v>221</v>
      </c>
      <c r="E2" s="192" t="s">
        <v>376</v>
      </c>
      <c r="F2" s="192" t="s">
        <v>244</v>
      </c>
      <c r="G2" s="192" t="s">
        <v>375</v>
      </c>
      <c r="J2" s="72"/>
    </row>
    <row r="3" spans="2:10">
      <c r="B3" s="7" t="s">
        <v>280</v>
      </c>
      <c r="C3" s="7" t="s">
        <v>262</v>
      </c>
      <c r="D3" s="125">
        <v>0</v>
      </c>
      <c r="E3" s="133">
        <f>((D3*C17)*'Production Function'!B110+'Production Function'!B110)+((D3*C17*'Production Function'!B111+'Production Function'!B111)+((D3*C17)*'Production Function'!B112+'Production Function'!B112))</f>
        <v>1532876.8306897175</v>
      </c>
      <c r="F3" s="124">
        <f>E3-('Production Function'!B110+'Production Function'!B111+'Production Function'!B112)</f>
        <v>0</v>
      </c>
      <c r="G3" s="135">
        <f>F3/Data!N67</f>
        <v>0</v>
      </c>
    </row>
    <row r="4" spans="2:10">
      <c r="B4" s="7" t="s">
        <v>219</v>
      </c>
      <c r="C4" s="7" t="s">
        <v>222</v>
      </c>
      <c r="D4" s="125">
        <v>0</v>
      </c>
      <c r="E4" s="134">
        <f>((D4*C18)*'Production Function'!B110+'Production Function'!B110)+((D4*C18*'Production Function'!B111+'Production Function'!B111)+((D4*C18)*'Production Function'!B112+'Production Function'!B112))</f>
        <v>1532876.8306897175</v>
      </c>
      <c r="F4" s="124">
        <f>E4-('Production Function'!B110+'Production Function'!B111+'Production Function'!B112)</f>
        <v>0</v>
      </c>
      <c r="G4" s="135">
        <f>F4/Data!N67</f>
        <v>0</v>
      </c>
      <c r="H4" s="70"/>
    </row>
    <row r="5" spans="2:10">
      <c r="B5" s="7" t="s">
        <v>267</v>
      </c>
      <c r="C5" s="7" t="s">
        <v>223</v>
      </c>
      <c r="D5" s="125">
        <v>0</v>
      </c>
      <c r="E5" s="134">
        <f>((D5*C19)*'Production Function'!B110+'Production Function'!B110)+((D5*C19*'Production Function'!B111+'Production Function'!B111)+((D5*C19)*'Production Function'!B112+'Production Function'!B112))</f>
        <v>1532876.8306897175</v>
      </c>
      <c r="F5" s="124">
        <f>E5-('Production Function'!B110+'Production Function'!B111+'Production Function'!B112)</f>
        <v>0</v>
      </c>
      <c r="G5" s="135">
        <f>F5/Data!N67</f>
        <v>0</v>
      </c>
    </row>
    <row r="6" spans="2:10" hidden="1">
      <c r="B6" s="7" t="s">
        <v>220</v>
      </c>
      <c r="C6" s="7" t="s">
        <v>224</v>
      </c>
      <c r="D6" s="125">
        <v>0</v>
      </c>
      <c r="E6" s="134">
        <f>(D6*Data!P74)+Data!N67</f>
        <v>448337</v>
      </c>
      <c r="F6" s="124">
        <f>E6-Data!N67</f>
        <v>0</v>
      </c>
      <c r="G6" s="135">
        <f>F6/Data!N67</f>
        <v>0</v>
      </c>
    </row>
    <row r="7" spans="2:10">
      <c r="B7" s="7"/>
      <c r="C7" s="7" t="s">
        <v>225</v>
      </c>
      <c r="D7" s="125">
        <v>0</v>
      </c>
      <c r="E7" s="134">
        <f>((D7*C20)*'Production Function'!B110+'Production Function'!B110)+((D7*C20*'Production Function'!B111+'Production Function'!B111)+((D7*C20)*'Production Function'!B112+'Production Function'!B112))</f>
        <v>1532876.8306897175</v>
      </c>
      <c r="F7" s="124">
        <f>E7-('Production Function'!B110+'Production Function'!B111+'Production Function'!B112)</f>
        <v>0</v>
      </c>
      <c r="G7" s="135">
        <f>F7/Data!N67</f>
        <v>0</v>
      </c>
    </row>
    <row r="8" spans="2:10">
      <c r="B8" s="7" t="s">
        <v>258</v>
      </c>
      <c r="C8" s="7" t="s">
        <v>225</v>
      </c>
      <c r="D8" s="125">
        <v>0</v>
      </c>
      <c r="E8" s="133">
        <f>((D8*C21)*'Production Function'!B110+'Production Function'!B110)+((D8*C21*'Production Function'!B111+'Production Function'!B111)+((D8*C21)*'Production Function'!B112+'Production Function'!B112))</f>
        <v>1532876.8306897175</v>
      </c>
      <c r="F8" s="124">
        <f>E8-('Production Function'!B110+'Production Function'!B111+'Production Function'!B112)</f>
        <v>0</v>
      </c>
      <c r="G8" s="135">
        <f>F8/Data!N67</f>
        <v>0</v>
      </c>
    </row>
    <row r="9" spans="2:10">
      <c r="B9" s="7" t="s">
        <v>268</v>
      </c>
      <c r="C9" s="7" t="s">
        <v>225</v>
      </c>
      <c r="D9" s="125">
        <v>0</v>
      </c>
      <c r="E9" s="133">
        <f>((D9*C22)*'Production Function'!C110+'Production Function'!C110)*Data!P74+((D9*C22)*'Production Function'!C111+'Production Function'!C111)*Data!P74+((D9*C22)*'Production Function'!C112+'Production Function'!C112)*Data!P74</f>
        <v>1532876.8306897175</v>
      </c>
      <c r="F9" s="124">
        <f>E9-('Production Function'!B110+'Production Function'!B111+'Production Function'!B112)</f>
        <v>0</v>
      </c>
      <c r="G9" s="135">
        <f>F9/Data!N67</f>
        <v>0</v>
      </c>
    </row>
    <row r="10" spans="2:10">
      <c r="B10" s="7" t="s">
        <v>277</v>
      </c>
      <c r="C10" s="7" t="s">
        <v>225</v>
      </c>
      <c r="D10" s="125">
        <v>0</v>
      </c>
      <c r="E10" s="133">
        <f>((D10*C23)*'Production Function'!C110+'Production Function'!C110)*Data!P74+((D10*C23)*'Production Function'!C111+'Production Function'!C111)*Data!P74+((D10*C23)*'Production Function'!C112+'Production Function'!C112)*Data!P74</f>
        <v>1532876.8306897175</v>
      </c>
      <c r="F10" s="124">
        <f>E10-('Production Function'!B110+'Production Function'!B111+'Production Function'!B112)</f>
        <v>0</v>
      </c>
      <c r="G10" s="135">
        <f>F10/Data!N67</f>
        <v>0</v>
      </c>
    </row>
    <row r="11" spans="2:10">
      <c r="B11" s="7" t="s">
        <v>269</v>
      </c>
      <c r="C11" s="7" t="s">
        <v>225</v>
      </c>
      <c r="D11" s="125">
        <v>0</v>
      </c>
      <c r="E11" s="134">
        <f>((D11*C24)*'Production Function'!C110+'Production Function'!C110)*Data!P74+((D11*C24)*'Production Function'!C111+'Production Function'!C111)*Data!P74+((D11*C24)*'Production Function'!C112+'Production Function'!C112)*Data!P74</f>
        <v>1532876.8306897175</v>
      </c>
      <c r="F11" s="124">
        <f>E11-('Production Function'!B110+'Production Function'!B111+'Production Function'!B112)</f>
        <v>0</v>
      </c>
      <c r="G11" s="135">
        <f>F11/Data!N67</f>
        <v>0</v>
      </c>
    </row>
    <row r="13" spans="2:10">
      <c r="D13" s="68"/>
      <c r="E13" s="69"/>
      <c r="F13" s="70"/>
    </row>
    <row r="16" spans="2:10">
      <c r="B16" s="193" t="s">
        <v>359</v>
      </c>
      <c r="C16" s="193" t="s">
        <v>358</v>
      </c>
      <c r="D16" s="247" t="s">
        <v>274</v>
      </c>
      <c r="E16" s="247"/>
      <c r="F16" s="247"/>
      <c r="G16" s="247"/>
    </row>
    <row r="17" spans="2:7">
      <c r="B17" s="126" t="s">
        <v>278</v>
      </c>
      <c r="C17" s="127">
        <v>2E-3</v>
      </c>
      <c r="D17" s="244" t="s">
        <v>279</v>
      </c>
      <c r="E17" s="244"/>
      <c r="F17" s="244"/>
      <c r="G17" s="244"/>
    </row>
    <row r="18" spans="2:7">
      <c r="B18" s="126" t="s">
        <v>217</v>
      </c>
      <c r="C18" s="127">
        <v>1.4E-5</v>
      </c>
      <c r="D18" s="244" t="s">
        <v>260</v>
      </c>
      <c r="E18" s="244"/>
      <c r="F18" s="244"/>
      <c r="G18" s="244"/>
    </row>
    <row r="19" spans="2:7">
      <c r="B19" s="126" t="s">
        <v>218</v>
      </c>
      <c r="C19" s="127">
        <v>5.4E-6</v>
      </c>
      <c r="D19" s="244" t="s">
        <v>261</v>
      </c>
      <c r="E19" s="244"/>
      <c r="F19" s="244"/>
      <c r="G19" s="244"/>
    </row>
    <row r="20" spans="2:7">
      <c r="B20" s="126"/>
      <c r="C20" s="128"/>
      <c r="D20" s="244"/>
      <c r="E20" s="244"/>
      <c r="F20" s="244"/>
      <c r="G20" s="244"/>
    </row>
    <row r="21" spans="2:7">
      <c r="B21" s="126" t="s">
        <v>258</v>
      </c>
      <c r="C21" s="127">
        <v>8.9999999999999998E-4</v>
      </c>
      <c r="D21" s="244" t="s">
        <v>259</v>
      </c>
      <c r="E21" s="244"/>
      <c r="F21" s="244"/>
      <c r="G21" s="244"/>
    </row>
    <row r="22" spans="2:7">
      <c r="B22" s="129" t="s">
        <v>263</v>
      </c>
      <c r="C22" s="131">
        <v>2.0000000000000001E-4</v>
      </c>
      <c r="D22" s="244" t="s">
        <v>265</v>
      </c>
      <c r="E22" s="244"/>
      <c r="F22" s="244"/>
      <c r="G22" s="244"/>
    </row>
    <row r="23" spans="2:7">
      <c r="B23" s="130" t="s">
        <v>275</v>
      </c>
      <c r="C23" s="132">
        <v>3.8999999999999998E-3</v>
      </c>
      <c r="D23" s="244" t="s">
        <v>276</v>
      </c>
      <c r="E23" s="244"/>
      <c r="F23" s="244"/>
      <c r="G23" s="244"/>
    </row>
    <row r="24" spans="2:7">
      <c r="B24" s="129" t="s">
        <v>264</v>
      </c>
      <c r="C24" s="131">
        <v>6.9999999999999999E-4</v>
      </c>
      <c r="D24" s="244" t="s">
        <v>266</v>
      </c>
      <c r="E24" s="244"/>
      <c r="F24" s="244"/>
      <c r="G24" s="244"/>
    </row>
  </sheetData>
  <mergeCells count="10">
    <mergeCell ref="D21:G21"/>
    <mergeCell ref="D22:G22"/>
    <mergeCell ref="D23:G23"/>
    <mergeCell ref="D24:G24"/>
    <mergeCell ref="B2:C2"/>
    <mergeCell ref="D16:G16"/>
    <mergeCell ref="D17:G17"/>
    <mergeCell ref="D18:G18"/>
    <mergeCell ref="D19:G19"/>
    <mergeCell ref="D20:G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5"/>
  <sheetViews>
    <sheetView topLeftCell="A22" workbookViewId="0">
      <selection activeCell="T27" sqref="T27"/>
    </sheetView>
  </sheetViews>
  <sheetFormatPr defaultRowHeight="14.4"/>
  <cols>
    <col min="1" max="1" width="55.6640625" style="78" customWidth="1"/>
    <col min="2" max="12" width="9.109375" style="78" hidden="1" customWidth="1"/>
    <col min="13" max="13" width="9.109375" style="78" customWidth="1"/>
    <col min="14" max="14" width="11.33203125" style="78" customWidth="1"/>
    <col min="15" max="17" width="9.109375" style="78" customWidth="1"/>
    <col min="18" max="18" width="4" style="78" customWidth="1"/>
    <col min="19" max="20" width="8.88671875" style="78"/>
    <col min="21" max="21" width="9.109375" style="78" bestFit="1" customWidth="1"/>
    <col min="22" max="16384" width="8.88671875" style="78"/>
  </cols>
  <sheetData>
    <row r="1" spans="1:27">
      <c r="M1" s="250" t="s">
        <v>360</v>
      </c>
      <c r="N1" s="250"/>
      <c r="O1" s="250"/>
      <c r="P1" s="250"/>
      <c r="Q1" s="250"/>
      <c r="R1" s="250"/>
      <c r="S1" s="250"/>
      <c r="T1" s="250"/>
      <c r="U1" s="250"/>
      <c r="V1" s="250"/>
      <c r="W1" s="250"/>
      <c r="X1" s="250"/>
      <c r="Y1" s="250"/>
      <c r="Z1" s="250"/>
      <c r="AA1" s="250"/>
    </row>
    <row r="2" spans="1:27">
      <c r="A2" s="79"/>
      <c r="B2" s="76"/>
      <c r="C2" s="76"/>
      <c r="D2" s="76"/>
      <c r="E2" s="76"/>
      <c r="F2" s="76"/>
      <c r="G2" s="76"/>
      <c r="H2" s="76"/>
      <c r="I2" s="76"/>
      <c r="J2" s="76"/>
      <c r="K2" s="76"/>
      <c r="L2" s="76"/>
      <c r="M2" s="136">
        <v>1</v>
      </c>
      <c r="N2" s="249" t="s">
        <v>329</v>
      </c>
      <c r="O2" s="249"/>
      <c r="P2" s="249"/>
      <c r="Q2" s="249"/>
      <c r="R2" s="249"/>
      <c r="S2" s="249"/>
      <c r="T2" s="249"/>
      <c r="U2" s="249"/>
      <c r="V2" s="249"/>
      <c r="W2" s="249"/>
      <c r="X2" s="249"/>
      <c r="Y2" s="249"/>
      <c r="Z2" s="249"/>
      <c r="AA2" s="249"/>
    </row>
    <row r="3" spans="1:27">
      <c r="A3" s="79"/>
      <c r="B3" s="77"/>
      <c r="C3" s="77"/>
      <c r="D3" s="77"/>
      <c r="E3" s="77"/>
      <c r="F3" s="77"/>
      <c r="G3" s="77"/>
      <c r="H3" s="77"/>
      <c r="I3" s="77"/>
      <c r="J3" s="77"/>
      <c r="K3" s="77"/>
      <c r="L3" s="77"/>
      <c r="M3" s="137" t="s">
        <v>330</v>
      </c>
      <c r="N3" s="248" t="s">
        <v>331</v>
      </c>
      <c r="O3" s="248"/>
      <c r="P3" s="248"/>
      <c r="Q3" s="248"/>
      <c r="R3" s="248"/>
      <c r="S3" s="248"/>
      <c r="T3" s="248"/>
      <c r="U3" s="248"/>
      <c r="V3" s="248"/>
      <c r="W3" s="248"/>
      <c r="X3" s="248"/>
      <c r="Y3" s="248"/>
      <c r="Z3" s="248"/>
      <c r="AA3" s="248"/>
    </row>
    <row r="4" spans="1:27">
      <c r="A4" s="79"/>
      <c r="B4" s="77"/>
      <c r="C4" s="77"/>
      <c r="D4" s="77"/>
      <c r="E4" s="77"/>
      <c r="F4" s="77"/>
      <c r="G4" s="77"/>
      <c r="H4" s="77"/>
      <c r="I4" s="77"/>
      <c r="J4" s="77"/>
      <c r="K4" s="77"/>
      <c r="L4" s="77"/>
      <c r="M4" s="137" t="s">
        <v>332</v>
      </c>
      <c r="N4" s="248" t="s">
        <v>333</v>
      </c>
      <c r="O4" s="248"/>
      <c r="P4" s="248"/>
      <c r="Q4" s="248"/>
      <c r="R4" s="248"/>
      <c r="S4" s="248"/>
      <c r="T4" s="248"/>
      <c r="U4" s="248"/>
      <c r="V4" s="248"/>
      <c r="W4" s="248"/>
      <c r="X4" s="248"/>
      <c r="Y4" s="248"/>
      <c r="Z4" s="248"/>
      <c r="AA4" s="248"/>
    </row>
    <row r="5" spans="1:27">
      <c r="A5" s="79"/>
      <c r="B5" s="77"/>
      <c r="C5" s="77"/>
      <c r="D5" s="77"/>
      <c r="E5" s="77"/>
      <c r="F5" s="77"/>
      <c r="G5" s="77"/>
      <c r="H5" s="77"/>
      <c r="I5" s="77"/>
      <c r="J5" s="77"/>
      <c r="K5" s="77"/>
      <c r="L5" s="77"/>
      <c r="M5" s="137" t="s">
        <v>334</v>
      </c>
      <c r="N5" s="248" t="s">
        <v>335</v>
      </c>
      <c r="O5" s="248"/>
      <c r="P5" s="248"/>
      <c r="Q5" s="248"/>
      <c r="R5" s="248"/>
      <c r="S5" s="248"/>
      <c r="T5" s="248"/>
      <c r="U5" s="248"/>
      <c r="V5" s="248"/>
      <c r="W5" s="248"/>
      <c r="X5" s="248"/>
      <c r="Y5" s="248"/>
      <c r="Z5" s="248"/>
      <c r="AA5" s="248"/>
    </row>
    <row r="6" spans="1:27">
      <c r="A6" s="79"/>
      <c r="B6" s="77"/>
      <c r="C6" s="77"/>
      <c r="D6" s="77"/>
      <c r="E6" s="77"/>
      <c r="F6" s="77"/>
      <c r="G6" s="77"/>
      <c r="H6" s="77"/>
      <c r="I6" s="77"/>
      <c r="J6" s="77"/>
      <c r="K6" s="77"/>
      <c r="L6" s="77"/>
      <c r="M6" s="137" t="s">
        <v>336</v>
      </c>
      <c r="N6" s="248" t="s">
        <v>337</v>
      </c>
      <c r="O6" s="248"/>
      <c r="P6" s="248"/>
      <c r="Q6" s="248"/>
      <c r="R6" s="248"/>
      <c r="S6" s="248"/>
      <c r="T6" s="248"/>
      <c r="U6" s="248"/>
      <c r="V6" s="248"/>
      <c r="W6" s="248"/>
      <c r="X6" s="248"/>
      <c r="Y6" s="248"/>
      <c r="Z6" s="248"/>
      <c r="AA6" s="248"/>
    </row>
    <row r="7" spans="1:27">
      <c r="A7" s="79"/>
      <c r="B7" s="77"/>
      <c r="C7" s="77"/>
      <c r="D7" s="77"/>
      <c r="E7" s="77"/>
      <c r="F7" s="77"/>
      <c r="G7" s="77"/>
      <c r="H7" s="77"/>
      <c r="I7" s="77"/>
      <c r="J7" s="77"/>
      <c r="K7" s="77"/>
      <c r="L7" s="77"/>
      <c r="M7" s="136">
        <v>2</v>
      </c>
      <c r="N7" s="248" t="s">
        <v>338</v>
      </c>
      <c r="O7" s="248"/>
      <c r="P7" s="248"/>
      <c r="Q7" s="248"/>
      <c r="R7" s="248"/>
      <c r="S7" s="248"/>
      <c r="T7" s="248"/>
      <c r="U7" s="248"/>
      <c r="V7" s="248"/>
      <c r="W7" s="248"/>
      <c r="X7" s="248"/>
      <c r="Y7" s="248"/>
      <c r="Z7" s="248"/>
      <c r="AA7" s="248"/>
    </row>
    <row r="8" spans="1:27">
      <c r="A8" s="79"/>
      <c r="B8" s="77"/>
      <c r="C8" s="77"/>
      <c r="D8" s="77"/>
      <c r="E8" s="77"/>
      <c r="F8" s="77"/>
      <c r="G8" s="77"/>
      <c r="H8" s="77"/>
      <c r="I8" s="77"/>
      <c r="J8" s="77"/>
      <c r="K8" s="77"/>
      <c r="L8" s="77"/>
      <c r="M8" s="137" t="s">
        <v>339</v>
      </c>
      <c r="N8" s="248" t="s">
        <v>340</v>
      </c>
      <c r="O8" s="248"/>
      <c r="P8" s="248"/>
      <c r="Q8" s="248"/>
      <c r="R8" s="248"/>
      <c r="S8" s="248"/>
      <c r="T8" s="248"/>
      <c r="U8" s="248"/>
      <c r="V8" s="248"/>
      <c r="W8" s="248"/>
      <c r="X8" s="248"/>
      <c r="Y8" s="248"/>
      <c r="Z8" s="248"/>
      <c r="AA8" s="248"/>
    </row>
    <row r="9" spans="1:27">
      <c r="A9" s="79"/>
      <c r="B9" s="77"/>
      <c r="C9" s="77"/>
      <c r="D9" s="77"/>
      <c r="E9" s="77"/>
      <c r="F9" s="77"/>
      <c r="G9" s="77"/>
      <c r="H9" s="77"/>
      <c r="I9" s="77"/>
      <c r="J9" s="77"/>
      <c r="K9" s="77"/>
      <c r="L9" s="77"/>
      <c r="M9" s="137" t="s">
        <v>341</v>
      </c>
      <c r="N9" s="248" t="s">
        <v>342</v>
      </c>
      <c r="O9" s="248"/>
      <c r="P9" s="248"/>
      <c r="Q9" s="248"/>
      <c r="R9" s="248"/>
      <c r="S9" s="248"/>
      <c r="T9" s="248"/>
      <c r="U9" s="248"/>
      <c r="V9" s="248"/>
      <c r="W9" s="248"/>
      <c r="X9" s="248"/>
      <c r="Y9" s="248"/>
      <c r="Z9" s="248"/>
      <c r="AA9" s="248"/>
    </row>
    <row r="10" spans="1:27">
      <c r="A10" s="79"/>
      <c r="B10" s="77"/>
      <c r="C10" s="77"/>
      <c r="D10" s="77"/>
      <c r="E10" s="77"/>
      <c r="F10" s="77"/>
      <c r="G10" s="77"/>
      <c r="H10" s="77"/>
      <c r="I10" s="77"/>
      <c r="J10" s="77"/>
      <c r="K10" s="77"/>
      <c r="L10" s="77"/>
      <c r="M10" s="137" t="s">
        <v>343</v>
      </c>
      <c r="N10" s="248" t="s">
        <v>344</v>
      </c>
      <c r="O10" s="248"/>
      <c r="P10" s="248"/>
      <c r="Q10" s="248"/>
      <c r="R10" s="248"/>
      <c r="S10" s="248"/>
      <c r="T10" s="248"/>
      <c r="U10" s="248"/>
      <c r="V10" s="248"/>
      <c r="W10" s="248"/>
      <c r="X10" s="248"/>
      <c r="Y10" s="248"/>
      <c r="Z10" s="248"/>
      <c r="AA10" s="248"/>
    </row>
    <row r="11" spans="1:27">
      <c r="A11" s="79"/>
      <c r="B11" s="77"/>
      <c r="C11" s="77"/>
      <c r="D11" s="77"/>
      <c r="E11" s="77"/>
      <c r="F11" s="77"/>
      <c r="G11" s="77"/>
      <c r="H11" s="77"/>
      <c r="I11" s="77"/>
      <c r="J11" s="77"/>
      <c r="K11" s="77"/>
      <c r="L11" s="77"/>
      <c r="M11" s="137" t="s">
        <v>345</v>
      </c>
      <c r="N11" s="248" t="s">
        <v>346</v>
      </c>
      <c r="O11" s="248"/>
      <c r="P11" s="248"/>
      <c r="Q11" s="248"/>
      <c r="R11" s="248"/>
      <c r="S11" s="248"/>
      <c r="T11" s="248"/>
      <c r="U11" s="248"/>
      <c r="V11" s="248"/>
      <c r="W11" s="248"/>
      <c r="X11" s="248"/>
      <c r="Y11" s="248"/>
      <c r="Z11" s="248"/>
      <c r="AA11" s="248"/>
    </row>
    <row r="12" spans="1:27">
      <c r="A12" s="79"/>
      <c r="B12" s="77"/>
      <c r="C12" s="77"/>
      <c r="D12" s="77"/>
      <c r="E12" s="77"/>
      <c r="F12" s="77"/>
      <c r="G12" s="77"/>
      <c r="H12" s="77"/>
      <c r="I12" s="77"/>
      <c r="J12" s="77"/>
      <c r="K12" s="77"/>
      <c r="L12" s="77"/>
      <c r="M12" s="136">
        <v>3</v>
      </c>
      <c r="N12" s="248" t="s">
        <v>347</v>
      </c>
      <c r="O12" s="248"/>
      <c r="P12" s="248"/>
      <c r="Q12" s="248"/>
      <c r="R12" s="248"/>
      <c r="S12" s="248"/>
      <c r="T12" s="248"/>
      <c r="U12" s="248"/>
      <c r="V12" s="248"/>
      <c r="W12" s="248"/>
      <c r="X12" s="248"/>
      <c r="Y12" s="248"/>
      <c r="Z12" s="248"/>
      <c r="AA12" s="248"/>
    </row>
    <row r="13" spans="1:27">
      <c r="A13" s="79"/>
      <c r="B13" s="77"/>
      <c r="C13" s="77"/>
      <c r="D13" s="77"/>
      <c r="E13" s="77"/>
      <c r="F13" s="77"/>
      <c r="G13" s="77"/>
      <c r="H13" s="77"/>
      <c r="I13" s="77"/>
      <c r="J13" s="77"/>
      <c r="K13" s="77"/>
      <c r="L13" s="77"/>
      <c r="M13" s="137" t="s">
        <v>348</v>
      </c>
      <c r="N13" s="248" t="s">
        <v>349</v>
      </c>
      <c r="O13" s="248"/>
      <c r="P13" s="248"/>
      <c r="Q13" s="248"/>
      <c r="R13" s="248"/>
      <c r="S13" s="248"/>
      <c r="T13" s="248"/>
      <c r="U13" s="248"/>
      <c r="V13" s="248"/>
      <c r="W13" s="248"/>
      <c r="X13" s="248"/>
      <c r="Y13" s="248"/>
      <c r="Z13" s="248"/>
      <c r="AA13" s="248"/>
    </row>
    <row r="14" spans="1:27">
      <c r="A14" s="79"/>
      <c r="B14" s="77"/>
      <c r="C14" s="77"/>
      <c r="D14" s="77"/>
      <c r="E14" s="77"/>
      <c r="F14" s="77"/>
      <c r="G14" s="77"/>
      <c r="H14" s="77"/>
      <c r="I14" s="77"/>
      <c r="J14" s="77"/>
      <c r="K14" s="77"/>
      <c r="L14" s="77"/>
      <c r="M14" s="137" t="s">
        <v>350</v>
      </c>
      <c r="N14" s="248" t="s">
        <v>351</v>
      </c>
      <c r="O14" s="248"/>
      <c r="P14" s="248"/>
      <c r="Q14" s="248"/>
      <c r="R14" s="248"/>
      <c r="S14" s="248"/>
      <c r="T14" s="248"/>
      <c r="U14" s="248"/>
      <c r="V14" s="248"/>
      <c r="W14" s="248"/>
      <c r="X14" s="248"/>
      <c r="Y14" s="248"/>
      <c r="Z14" s="248"/>
      <c r="AA14" s="248"/>
    </row>
    <row r="15" spans="1:27">
      <c r="A15" s="79"/>
      <c r="B15" s="77"/>
      <c r="C15" s="77"/>
      <c r="D15" s="77"/>
      <c r="E15" s="77"/>
      <c r="F15" s="77"/>
      <c r="G15" s="77"/>
      <c r="H15" s="77"/>
      <c r="I15" s="77"/>
      <c r="J15" s="77"/>
      <c r="K15" s="77"/>
      <c r="L15" s="77"/>
      <c r="M15" s="137" t="s">
        <v>352</v>
      </c>
      <c r="N15" s="248" t="s">
        <v>353</v>
      </c>
      <c r="O15" s="248"/>
      <c r="P15" s="248"/>
      <c r="Q15" s="248"/>
      <c r="R15" s="248"/>
      <c r="S15" s="248"/>
      <c r="T15" s="248"/>
      <c r="U15" s="248"/>
      <c r="V15" s="248"/>
      <c r="W15" s="248"/>
      <c r="X15" s="248"/>
      <c r="Y15" s="248"/>
      <c r="Z15" s="248"/>
      <c r="AA15" s="248"/>
    </row>
    <row r="16" spans="1:27">
      <c r="A16" s="79"/>
      <c r="B16" s="77"/>
      <c r="C16" s="77"/>
      <c r="D16" s="77"/>
      <c r="E16" s="77"/>
      <c r="F16" s="77"/>
      <c r="G16" s="77"/>
      <c r="H16" s="77"/>
      <c r="I16" s="77"/>
      <c r="J16" s="77"/>
      <c r="K16" s="77"/>
      <c r="L16" s="77"/>
      <c r="M16" s="137" t="s">
        <v>354</v>
      </c>
      <c r="N16" s="248" t="s">
        <v>355</v>
      </c>
      <c r="O16" s="248"/>
      <c r="P16" s="248"/>
      <c r="Q16" s="248"/>
      <c r="R16" s="248"/>
      <c r="S16" s="248"/>
      <c r="T16" s="248"/>
      <c r="U16" s="248"/>
      <c r="V16" s="248"/>
      <c r="W16" s="248"/>
      <c r="X16" s="248"/>
      <c r="Y16" s="248"/>
      <c r="Z16" s="248"/>
      <c r="AA16" s="248"/>
    </row>
    <row r="17" spans="1:27">
      <c r="A17" s="79"/>
      <c r="M17" s="80"/>
      <c r="N17" s="80"/>
      <c r="O17" s="80"/>
      <c r="P17" s="80"/>
      <c r="Q17" s="80"/>
      <c r="R17" s="80"/>
    </row>
    <row r="18" spans="1:27">
      <c r="A18" s="269" t="s">
        <v>317</v>
      </c>
      <c r="B18" s="270"/>
      <c r="C18" s="270"/>
      <c r="D18" s="270"/>
      <c r="E18" s="270"/>
      <c r="F18" s="270"/>
      <c r="G18" s="270"/>
      <c r="H18" s="270"/>
      <c r="I18" s="270"/>
      <c r="J18" s="270"/>
      <c r="K18" s="270"/>
      <c r="L18" s="270"/>
      <c r="M18" s="270"/>
      <c r="N18" s="270"/>
      <c r="O18" s="270"/>
      <c r="P18" s="270"/>
      <c r="Q18" s="270"/>
      <c r="R18" s="271"/>
      <c r="S18" s="194" t="s">
        <v>318</v>
      </c>
      <c r="T18" s="194" t="s">
        <v>319</v>
      </c>
      <c r="U18" s="272"/>
      <c r="V18" s="273"/>
      <c r="W18" s="273"/>
      <c r="X18" s="273"/>
      <c r="Y18" s="273"/>
      <c r="Z18" s="273"/>
      <c r="AA18" s="274"/>
    </row>
    <row r="19" spans="1:27">
      <c r="A19" s="144"/>
      <c r="B19" s="143" t="s">
        <v>237</v>
      </c>
      <c r="C19" s="143" t="s">
        <v>238</v>
      </c>
      <c r="D19" s="143" t="s">
        <v>239</v>
      </c>
      <c r="E19" s="143" t="s">
        <v>240</v>
      </c>
      <c r="F19" s="143" t="s">
        <v>284</v>
      </c>
      <c r="G19" s="143" t="s">
        <v>320</v>
      </c>
      <c r="H19" s="144"/>
      <c r="I19" s="144"/>
      <c r="J19" s="144"/>
      <c r="K19" s="144"/>
      <c r="L19" s="144"/>
      <c r="M19" s="143" t="s">
        <v>237</v>
      </c>
      <c r="N19" s="143" t="s">
        <v>238</v>
      </c>
      <c r="O19" s="143" t="s">
        <v>239</v>
      </c>
      <c r="P19" s="143" t="s">
        <v>240</v>
      </c>
      <c r="Q19" s="143" t="s">
        <v>284</v>
      </c>
      <c r="R19" s="143"/>
      <c r="S19" s="145" t="s">
        <v>321</v>
      </c>
      <c r="T19" s="145" t="s">
        <v>322</v>
      </c>
      <c r="U19" s="143">
        <f>+Q19+1</f>
        <v>2022</v>
      </c>
      <c r="V19" s="143">
        <f>+U19+1</f>
        <v>2023</v>
      </c>
      <c r="W19" s="143">
        <f t="shared" ref="W19:AA19" si="0">+V19+1</f>
        <v>2024</v>
      </c>
      <c r="X19" s="143">
        <f t="shared" si="0"/>
        <v>2025</v>
      </c>
      <c r="Y19" s="143">
        <f t="shared" si="0"/>
        <v>2026</v>
      </c>
      <c r="Z19" s="143">
        <f t="shared" si="0"/>
        <v>2027</v>
      </c>
      <c r="AA19" s="143">
        <f t="shared" si="0"/>
        <v>2028</v>
      </c>
    </row>
    <row r="20" spans="1:27">
      <c r="A20" s="146" t="s">
        <v>241</v>
      </c>
      <c r="B20" s="147"/>
      <c r="C20" s="147"/>
      <c r="D20" s="147"/>
      <c r="E20" s="147"/>
      <c r="F20" s="147"/>
      <c r="G20" s="147"/>
      <c r="H20" s="144"/>
      <c r="I20" s="144"/>
      <c r="J20" s="144"/>
      <c r="K20" s="144"/>
      <c r="L20" s="144"/>
      <c r="M20" s="148">
        <v>1679935</v>
      </c>
      <c r="N20" s="148">
        <v>1682702</v>
      </c>
      <c r="O20" s="148">
        <v>1684820</v>
      </c>
      <c r="P20" s="148">
        <v>1685589</v>
      </c>
      <c r="Q20" s="148">
        <v>1682800</v>
      </c>
      <c r="R20" s="148"/>
      <c r="S20" s="149">
        <f>SUM(S21:S26)</f>
        <v>716.25</v>
      </c>
      <c r="T20" s="149">
        <f>SUM(T21:T26)</f>
        <v>0</v>
      </c>
      <c r="U20" s="150">
        <f t="shared" ref="U20:AA20" si="1">SUM(U21:U26)</f>
        <v>1683517.25</v>
      </c>
      <c r="V20" s="150">
        <f t="shared" si="1"/>
        <v>1684233.5</v>
      </c>
      <c r="W20" s="150">
        <f t="shared" si="1"/>
        <v>1684949.75</v>
      </c>
      <c r="X20" s="150">
        <f t="shared" si="1"/>
        <v>1685666</v>
      </c>
      <c r="Y20" s="150">
        <f t="shared" si="1"/>
        <v>1686382.25</v>
      </c>
      <c r="Z20" s="150">
        <f t="shared" si="1"/>
        <v>1687098.5</v>
      </c>
      <c r="AA20" s="150">
        <f t="shared" si="1"/>
        <v>1687814.75</v>
      </c>
    </row>
    <row r="21" spans="1:27">
      <c r="A21" s="146" t="s">
        <v>292</v>
      </c>
      <c r="B21" s="147"/>
      <c r="C21" s="147"/>
      <c r="D21" s="147"/>
      <c r="E21" s="147"/>
      <c r="F21" s="147"/>
      <c r="G21" s="147"/>
      <c r="H21" s="144"/>
      <c r="I21" s="144"/>
      <c r="J21" s="144"/>
      <c r="K21" s="144"/>
      <c r="L21" s="144"/>
      <c r="M21" s="148">
        <v>25345</v>
      </c>
      <c r="N21" s="148">
        <v>26504</v>
      </c>
      <c r="O21" s="148">
        <v>32464</v>
      </c>
      <c r="P21" s="148">
        <v>27584</v>
      </c>
      <c r="Q21" s="148">
        <v>27355</v>
      </c>
      <c r="R21" s="148"/>
      <c r="S21" s="149">
        <f>(Q21-M21)/4+T21</f>
        <v>502.5</v>
      </c>
      <c r="T21" s="149">
        <v>0</v>
      </c>
      <c r="U21" s="150">
        <f>+Q21+S21</f>
        <v>27857.5</v>
      </c>
      <c r="V21" s="150">
        <f>+U21+$S21</f>
        <v>28360</v>
      </c>
      <c r="W21" s="150">
        <f t="shared" ref="W21:AA21" si="2">+V21+$S21</f>
        <v>28862.5</v>
      </c>
      <c r="X21" s="150">
        <f t="shared" si="2"/>
        <v>29365</v>
      </c>
      <c r="Y21" s="150">
        <f t="shared" si="2"/>
        <v>29867.5</v>
      </c>
      <c r="Z21" s="150">
        <f t="shared" si="2"/>
        <v>30370</v>
      </c>
      <c r="AA21" s="150">
        <f t="shared" si="2"/>
        <v>30872.5</v>
      </c>
    </row>
    <row r="22" spans="1:27">
      <c r="A22" s="146" t="s">
        <v>293</v>
      </c>
      <c r="B22" s="147"/>
      <c r="C22" s="147"/>
      <c r="D22" s="147"/>
      <c r="E22" s="147"/>
      <c r="F22" s="147"/>
      <c r="G22" s="147"/>
      <c r="H22" s="144"/>
      <c r="I22" s="144"/>
      <c r="J22" s="144"/>
      <c r="K22" s="144"/>
      <c r="L22" s="144"/>
      <c r="M22" s="148">
        <v>80781</v>
      </c>
      <c r="N22" s="148">
        <v>77564</v>
      </c>
      <c r="O22" s="148">
        <v>73815</v>
      </c>
      <c r="P22" s="148">
        <v>70496</v>
      </c>
      <c r="Q22" s="148">
        <v>62075</v>
      </c>
      <c r="R22" s="148"/>
      <c r="S22" s="149">
        <f>(Q22-M22)/4+T22</f>
        <v>-5176.5</v>
      </c>
      <c r="T22" s="149">
        <v>-500</v>
      </c>
      <c r="U22" s="150">
        <f t="shared" ref="U22:U26" si="3">+Q22+S22</f>
        <v>56898.5</v>
      </c>
      <c r="V22" s="150">
        <f t="shared" ref="V22:AA26" si="4">+U22+$S22</f>
        <v>51722</v>
      </c>
      <c r="W22" s="150">
        <f t="shared" si="4"/>
        <v>46545.5</v>
      </c>
      <c r="X22" s="150">
        <f t="shared" si="4"/>
        <v>41369</v>
      </c>
      <c r="Y22" s="150">
        <f t="shared" si="4"/>
        <v>36192.5</v>
      </c>
      <c r="Z22" s="150">
        <f t="shared" si="4"/>
        <v>31016</v>
      </c>
      <c r="AA22" s="150">
        <f t="shared" si="4"/>
        <v>25839.5</v>
      </c>
    </row>
    <row r="23" spans="1:27">
      <c r="A23" s="146" t="s">
        <v>294</v>
      </c>
      <c r="B23" s="147"/>
      <c r="C23" s="147"/>
      <c r="D23" s="147"/>
      <c r="E23" s="147"/>
      <c r="F23" s="147"/>
      <c r="G23" s="147"/>
      <c r="H23" s="144"/>
      <c r="I23" s="144"/>
      <c r="J23" s="144"/>
      <c r="K23" s="144"/>
      <c r="L23" s="144"/>
      <c r="M23" s="148">
        <v>481570</v>
      </c>
      <c r="N23" s="148">
        <v>477326</v>
      </c>
      <c r="O23" s="148">
        <v>466453</v>
      </c>
      <c r="P23" s="148">
        <v>454934</v>
      </c>
      <c r="Q23" s="148">
        <v>447038</v>
      </c>
      <c r="R23" s="148"/>
      <c r="S23" s="149">
        <f t="shared" ref="S23:S26" si="5">(Q23-M23)/4+T23</f>
        <v>-10133</v>
      </c>
      <c r="T23" s="149">
        <v>-1500</v>
      </c>
      <c r="U23" s="150">
        <f t="shared" si="3"/>
        <v>436905</v>
      </c>
      <c r="V23" s="150">
        <f t="shared" si="4"/>
        <v>426772</v>
      </c>
      <c r="W23" s="150">
        <f t="shared" si="4"/>
        <v>416639</v>
      </c>
      <c r="X23" s="150">
        <f t="shared" si="4"/>
        <v>406506</v>
      </c>
      <c r="Y23" s="150">
        <f t="shared" si="4"/>
        <v>396373</v>
      </c>
      <c r="Z23" s="150">
        <f t="shared" si="4"/>
        <v>386240</v>
      </c>
      <c r="AA23" s="150">
        <f t="shared" si="4"/>
        <v>376107</v>
      </c>
    </row>
    <row r="24" spans="1:27">
      <c r="A24" s="146" t="s">
        <v>300</v>
      </c>
      <c r="B24" s="147"/>
      <c r="C24" s="147"/>
      <c r="D24" s="147"/>
      <c r="E24" s="147"/>
      <c r="F24" s="147"/>
      <c r="G24" s="147"/>
      <c r="H24" s="144"/>
      <c r="I24" s="144"/>
      <c r="J24" s="144"/>
      <c r="K24" s="144"/>
      <c r="L24" s="144"/>
      <c r="M24" s="148">
        <v>799822</v>
      </c>
      <c r="N24" s="148">
        <v>814011</v>
      </c>
      <c r="O24" s="148">
        <v>815035</v>
      </c>
      <c r="P24" s="148">
        <v>809186</v>
      </c>
      <c r="Q24" s="148">
        <v>822249</v>
      </c>
      <c r="R24" s="148"/>
      <c r="S24" s="149">
        <f>(Q24-M24)/4+T24</f>
        <v>7106.75</v>
      </c>
      <c r="T24" s="149">
        <f>2000-500</f>
        <v>1500</v>
      </c>
      <c r="U24" s="150">
        <f t="shared" si="3"/>
        <v>829355.75</v>
      </c>
      <c r="V24" s="150">
        <f t="shared" si="4"/>
        <v>836462.5</v>
      </c>
      <c r="W24" s="150">
        <f t="shared" si="4"/>
        <v>843569.25</v>
      </c>
      <c r="X24" s="150">
        <f t="shared" si="4"/>
        <v>850676</v>
      </c>
      <c r="Y24" s="150">
        <f t="shared" si="4"/>
        <v>857782.75</v>
      </c>
      <c r="Z24" s="150">
        <f t="shared" si="4"/>
        <v>864889.5</v>
      </c>
      <c r="AA24" s="150">
        <f t="shared" si="4"/>
        <v>871996.25</v>
      </c>
    </row>
    <row r="25" spans="1:27">
      <c r="A25" s="146" t="s">
        <v>297</v>
      </c>
      <c r="B25" s="147"/>
      <c r="C25" s="147"/>
      <c r="D25" s="147"/>
      <c r="E25" s="147"/>
      <c r="F25" s="147"/>
      <c r="G25" s="147"/>
      <c r="H25" s="144"/>
      <c r="I25" s="144"/>
      <c r="J25" s="144"/>
      <c r="K25" s="144"/>
      <c r="L25" s="144"/>
      <c r="M25" s="148">
        <v>34430</v>
      </c>
      <c r="N25" s="148">
        <v>31868</v>
      </c>
      <c r="O25" s="148">
        <v>35120</v>
      </c>
      <c r="P25" s="148">
        <v>37146</v>
      </c>
      <c r="Q25" s="148">
        <v>37834</v>
      </c>
      <c r="R25" s="148"/>
      <c r="S25" s="149">
        <f t="shared" si="5"/>
        <v>1351</v>
      </c>
      <c r="T25" s="149">
        <v>500</v>
      </c>
      <c r="U25" s="150">
        <f t="shared" si="3"/>
        <v>39185</v>
      </c>
      <c r="V25" s="150">
        <f t="shared" si="4"/>
        <v>40536</v>
      </c>
      <c r="W25" s="150">
        <f t="shared" si="4"/>
        <v>41887</v>
      </c>
      <c r="X25" s="150">
        <f t="shared" si="4"/>
        <v>43238</v>
      </c>
      <c r="Y25" s="150">
        <f t="shared" si="4"/>
        <v>44589</v>
      </c>
      <c r="Z25" s="150">
        <f t="shared" si="4"/>
        <v>45940</v>
      </c>
      <c r="AA25" s="150">
        <f t="shared" si="4"/>
        <v>47291</v>
      </c>
    </row>
    <row r="26" spans="1:27">
      <c r="A26" s="146" t="s">
        <v>298</v>
      </c>
      <c r="B26" s="147"/>
      <c r="C26" s="147"/>
      <c r="D26" s="147"/>
      <c r="E26" s="147"/>
      <c r="F26" s="147"/>
      <c r="G26" s="147"/>
      <c r="H26" s="144"/>
      <c r="I26" s="144"/>
      <c r="J26" s="144"/>
      <c r="K26" s="144"/>
      <c r="L26" s="144"/>
      <c r="M26" s="148">
        <v>257988</v>
      </c>
      <c r="N26" s="148">
        <v>255429</v>
      </c>
      <c r="O26" s="148">
        <v>261934</v>
      </c>
      <c r="P26" s="148">
        <v>286243</v>
      </c>
      <c r="Q26" s="148">
        <v>286250</v>
      </c>
      <c r="R26" s="148"/>
      <c r="S26" s="149">
        <f t="shared" si="5"/>
        <v>7065.5</v>
      </c>
      <c r="T26" s="149">
        <v>0</v>
      </c>
      <c r="U26" s="150">
        <f t="shared" si="3"/>
        <v>293315.5</v>
      </c>
      <c r="V26" s="150">
        <f t="shared" si="4"/>
        <v>300381</v>
      </c>
      <c r="W26" s="150">
        <f t="shared" si="4"/>
        <v>307446.5</v>
      </c>
      <c r="X26" s="150">
        <f t="shared" si="4"/>
        <v>314512</v>
      </c>
      <c r="Y26" s="150">
        <f t="shared" si="4"/>
        <v>321577.5</v>
      </c>
      <c r="Z26" s="150">
        <f t="shared" si="4"/>
        <v>328643</v>
      </c>
      <c r="AA26" s="150">
        <f t="shared" si="4"/>
        <v>335708.5</v>
      </c>
    </row>
    <row r="27" spans="1:27">
      <c r="M27" s="82"/>
      <c r="N27" s="82"/>
      <c r="O27" s="82"/>
      <c r="P27" s="82"/>
      <c r="Q27" s="82"/>
      <c r="R27" s="82"/>
      <c r="S27" s="140"/>
      <c r="T27" s="140"/>
      <c r="U27" s="142"/>
      <c r="V27" s="142"/>
      <c r="W27" s="142"/>
      <c r="X27" s="142"/>
      <c r="Y27" s="142"/>
      <c r="Z27" s="142"/>
      <c r="AA27" s="142"/>
    </row>
    <row r="28" spans="1:27">
      <c r="A28" s="269" t="s">
        <v>323</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1"/>
    </row>
    <row r="29" spans="1:27">
      <c r="A29" s="146" t="s">
        <v>241</v>
      </c>
      <c r="B29" s="144"/>
      <c r="C29" s="144"/>
      <c r="D29" s="144"/>
      <c r="E29" s="144"/>
      <c r="F29" s="144"/>
      <c r="G29" s="144"/>
      <c r="H29" s="144"/>
      <c r="I29" s="144"/>
      <c r="J29" s="144"/>
      <c r="K29" s="144"/>
      <c r="L29" s="144"/>
      <c r="M29" s="148">
        <v>740648</v>
      </c>
      <c r="N29" s="148">
        <v>759054</v>
      </c>
      <c r="O29" s="148">
        <v>797651</v>
      </c>
      <c r="P29" s="148">
        <v>794909</v>
      </c>
      <c r="Q29" s="148">
        <v>795087</v>
      </c>
      <c r="R29" s="148"/>
      <c r="S29" s="149">
        <f>SUM(S30:S35)</f>
        <v>14479.625038161646</v>
      </c>
      <c r="T29" s="149">
        <f>SUM(T30:T35)</f>
        <v>869.87503816164622</v>
      </c>
      <c r="U29" s="150">
        <f t="shared" ref="U29:AA29" si="6">SUM(U30:U35)</f>
        <v>809567.62503816164</v>
      </c>
      <c r="V29" s="150">
        <f t="shared" si="6"/>
        <v>824047.25007632328</v>
      </c>
      <c r="W29" s="150">
        <f t="shared" si="6"/>
        <v>838526.87511448492</v>
      </c>
      <c r="X29" s="150">
        <f t="shared" si="6"/>
        <v>853006.50015264656</v>
      </c>
      <c r="Y29" s="150">
        <f t="shared" si="6"/>
        <v>867486.1251908082</v>
      </c>
      <c r="Z29" s="150">
        <f t="shared" si="6"/>
        <v>881965.75022896985</v>
      </c>
      <c r="AA29" s="150">
        <f t="shared" si="6"/>
        <v>896445.37526713149</v>
      </c>
    </row>
    <row r="30" spans="1:27">
      <c r="A30" s="146" t="s">
        <v>292</v>
      </c>
      <c r="B30" s="144"/>
      <c r="C30" s="144"/>
      <c r="D30" s="144"/>
      <c r="E30" s="144"/>
      <c r="F30" s="144"/>
      <c r="G30" s="144"/>
      <c r="H30" s="144"/>
      <c r="I30" s="144"/>
      <c r="J30" s="144"/>
      <c r="K30" s="144"/>
      <c r="L30" s="144"/>
      <c r="M30" s="148">
        <v>2369</v>
      </c>
      <c r="N30" s="148">
        <v>2774</v>
      </c>
      <c r="O30" s="148">
        <v>4852</v>
      </c>
      <c r="P30" s="148">
        <v>3689</v>
      </c>
      <c r="Q30" s="148">
        <v>2319</v>
      </c>
      <c r="R30" s="148"/>
      <c r="S30" s="149">
        <f t="shared" ref="S30:S35" si="7">(Q30-M30)/4+T30</f>
        <v>-12.5</v>
      </c>
      <c r="T30" s="149">
        <v>0</v>
      </c>
      <c r="U30" s="150">
        <f>+Q30+S30</f>
        <v>2306.5</v>
      </c>
      <c r="V30" s="150">
        <f>+U30+$S30</f>
        <v>2294</v>
      </c>
      <c r="W30" s="150">
        <f t="shared" ref="W30:AA30" si="8">+V30+$S30</f>
        <v>2281.5</v>
      </c>
      <c r="X30" s="150">
        <f t="shared" si="8"/>
        <v>2269</v>
      </c>
      <c r="Y30" s="150">
        <f t="shared" si="8"/>
        <v>2256.5</v>
      </c>
      <c r="Z30" s="150">
        <f t="shared" si="8"/>
        <v>2244</v>
      </c>
      <c r="AA30" s="150">
        <f t="shared" si="8"/>
        <v>2231.5</v>
      </c>
    </row>
    <row r="31" spans="1:27">
      <c r="A31" s="146" t="s">
        <v>293</v>
      </c>
      <c r="B31" s="144"/>
      <c r="C31" s="144"/>
      <c r="D31" s="144"/>
      <c r="E31" s="144"/>
      <c r="F31" s="144"/>
      <c r="G31" s="144"/>
      <c r="H31" s="144"/>
      <c r="I31" s="144"/>
      <c r="J31" s="144"/>
      <c r="K31" s="144"/>
      <c r="L31" s="144"/>
      <c r="M31" s="148">
        <v>13493</v>
      </c>
      <c r="N31" s="148">
        <v>13697</v>
      </c>
      <c r="O31" s="148">
        <v>14484</v>
      </c>
      <c r="P31" s="148">
        <v>12621</v>
      </c>
      <c r="Q31" s="148">
        <v>9378</v>
      </c>
      <c r="R31" s="148"/>
      <c r="S31" s="149">
        <f t="shared" si="7"/>
        <v>-1104.2876560612162</v>
      </c>
      <c r="T31" s="149">
        <f>T22*Q50</f>
        <v>-75.537656061216282</v>
      </c>
      <c r="U31" s="150">
        <f t="shared" ref="U31:U35" si="9">+Q31+S31</f>
        <v>8273.7123439387833</v>
      </c>
      <c r="V31" s="150">
        <f t="shared" ref="V31:AA35" si="10">+U31+$S31</f>
        <v>7169.4246878775666</v>
      </c>
      <c r="W31" s="150">
        <f t="shared" si="10"/>
        <v>6065.1370318163499</v>
      </c>
      <c r="X31" s="150">
        <f t="shared" si="10"/>
        <v>4960.8493757551332</v>
      </c>
      <c r="Y31" s="150">
        <f t="shared" si="10"/>
        <v>3856.561719693917</v>
      </c>
      <c r="Z31" s="150">
        <f t="shared" si="10"/>
        <v>2752.2740636327007</v>
      </c>
      <c r="AA31" s="150">
        <f t="shared" si="10"/>
        <v>1647.9864075714845</v>
      </c>
    </row>
    <row r="32" spans="1:27">
      <c r="A32" s="146" t="s">
        <v>294</v>
      </c>
      <c r="B32" s="144"/>
      <c r="C32" s="144"/>
      <c r="D32" s="144"/>
      <c r="E32" s="144"/>
      <c r="F32" s="144"/>
      <c r="G32" s="144"/>
      <c r="H32" s="144"/>
      <c r="I32" s="144"/>
      <c r="J32" s="144"/>
      <c r="K32" s="144"/>
      <c r="L32" s="144"/>
      <c r="M32" s="148">
        <v>120559</v>
      </c>
      <c r="N32" s="148">
        <v>124429</v>
      </c>
      <c r="O32" s="148">
        <v>122144</v>
      </c>
      <c r="P32" s="148">
        <v>114970</v>
      </c>
      <c r="Q32" s="148">
        <v>105676</v>
      </c>
      <c r="R32" s="148"/>
      <c r="S32" s="149">
        <f t="shared" si="7"/>
        <v>-4075.3373057771373</v>
      </c>
      <c r="T32" s="149">
        <f>T23*Q51</f>
        <v>-354.58730577713749</v>
      </c>
      <c r="U32" s="150">
        <f t="shared" si="9"/>
        <v>101600.66269422286</v>
      </c>
      <c r="V32" s="150">
        <f t="shared" si="10"/>
        <v>97525.325388445723</v>
      </c>
      <c r="W32" s="150">
        <f t="shared" si="10"/>
        <v>93449.988082668584</v>
      </c>
      <c r="X32" s="150">
        <f t="shared" si="10"/>
        <v>89374.650776891445</v>
      </c>
      <c r="Y32" s="150">
        <f t="shared" si="10"/>
        <v>85299.313471114307</v>
      </c>
      <c r="Z32" s="150">
        <f t="shared" si="10"/>
        <v>81223.976165337168</v>
      </c>
      <c r="AA32" s="150">
        <f t="shared" si="10"/>
        <v>77148.638859560029</v>
      </c>
    </row>
    <row r="33" spans="1:27">
      <c r="A33" s="146" t="s">
        <v>300</v>
      </c>
      <c r="B33" s="144"/>
      <c r="C33" s="144"/>
      <c r="D33" s="144"/>
      <c r="E33" s="144"/>
      <c r="F33" s="144"/>
      <c r="G33" s="144"/>
      <c r="H33" s="144"/>
      <c r="I33" s="144"/>
      <c r="J33" s="144"/>
      <c r="K33" s="144"/>
      <c r="L33" s="144"/>
      <c r="M33" s="148">
        <v>410950</v>
      </c>
      <c r="N33" s="148">
        <v>426041</v>
      </c>
      <c r="O33" s="148">
        <v>449664</v>
      </c>
      <c r="P33" s="148">
        <v>437610</v>
      </c>
      <c r="Q33" s="148">
        <v>447970</v>
      </c>
      <c r="R33" s="148"/>
      <c r="S33" s="149">
        <f t="shared" si="7"/>
        <v>10230</v>
      </c>
      <c r="T33" s="149">
        <f>T24*0.65</f>
        <v>975</v>
      </c>
      <c r="U33" s="150">
        <f t="shared" si="9"/>
        <v>458200</v>
      </c>
      <c r="V33" s="150">
        <f t="shared" si="10"/>
        <v>468430</v>
      </c>
      <c r="W33" s="150">
        <f t="shared" si="10"/>
        <v>478660</v>
      </c>
      <c r="X33" s="150">
        <f t="shared" si="10"/>
        <v>488890</v>
      </c>
      <c r="Y33" s="150">
        <f t="shared" si="10"/>
        <v>499120</v>
      </c>
      <c r="Z33" s="150">
        <f t="shared" si="10"/>
        <v>509350</v>
      </c>
      <c r="AA33" s="150">
        <f t="shared" si="10"/>
        <v>519580</v>
      </c>
    </row>
    <row r="34" spans="1:27">
      <c r="A34" s="146" t="s">
        <v>297</v>
      </c>
      <c r="B34" s="144"/>
      <c r="C34" s="144"/>
      <c r="D34" s="144"/>
      <c r="E34" s="144"/>
      <c r="F34" s="144"/>
      <c r="G34" s="144"/>
      <c r="H34" s="144"/>
      <c r="I34" s="144"/>
      <c r="J34" s="144"/>
      <c r="K34" s="144"/>
      <c r="L34" s="144"/>
      <c r="M34" s="148">
        <v>15613</v>
      </c>
      <c r="N34" s="148">
        <v>14315</v>
      </c>
      <c r="O34" s="148">
        <v>16250</v>
      </c>
      <c r="P34" s="148">
        <v>17020</v>
      </c>
      <c r="Q34" s="148">
        <v>16664</v>
      </c>
      <c r="R34" s="148"/>
      <c r="S34" s="149">
        <f t="shared" si="7"/>
        <v>587.75</v>
      </c>
      <c r="T34" s="149">
        <f>T25*0.65</f>
        <v>325</v>
      </c>
      <c r="U34" s="150">
        <f t="shared" si="9"/>
        <v>17251.75</v>
      </c>
      <c r="V34" s="150">
        <f t="shared" si="10"/>
        <v>17839.5</v>
      </c>
      <c r="W34" s="150">
        <f t="shared" si="10"/>
        <v>18427.25</v>
      </c>
      <c r="X34" s="150">
        <f t="shared" si="10"/>
        <v>19015</v>
      </c>
      <c r="Y34" s="150">
        <f t="shared" si="10"/>
        <v>19602.75</v>
      </c>
      <c r="Z34" s="150">
        <f t="shared" si="10"/>
        <v>20190.5</v>
      </c>
      <c r="AA34" s="150">
        <f t="shared" si="10"/>
        <v>20778.25</v>
      </c>
    </row>
    <row r="35" spans="1:27">
      <c r="A35" s="146" t="s">
        <v>298</v>
      </c>
      <c r="B35" s="144"/>
      <c r="C35" s="144"/>
      <c r="D35" s="144"/>
      <c r="E35" s="144"/>
      <c r="F35" s="144"/>
      <c r="G35" s="144"/>
      <c r="H35" s="144"/>
      <c r="I35" s="144"/>
      <c r="J35" s="144"/>
      <c r="K35" s="144"/>
      <c r="L35" s="144"/>
      <c r="M35" s="148">
        <v>177665</v>
      </c>
      <c r="N35" s="148">
        <v>177798</v>
      </c>
      <c r="O35" s="148">
        <v>190257</v>
      </c>
      <c r="P35" s="148">
        <v>209000</v>
      </c>
      <c r="Q35" s="148">
        <v>213081</v>
      </c>
      <c r="R35" s="148"/>
      <c r="S35" s="149">
        <f t="shared" si="7"/>
        <v>8854</v>
      </c>
      <c r="T35" s="149">
        <v>0</v>
      </c>
      <c r="U35" s="150">
        <f t="shared" si="9"/>
        <v>221935</v>
      </c>
      <c r="V35" s="150">
        <f t="shared" si="10"/>
        <v>230789</v>
      </c>
      <c r="W35" s="150">
        <f t="shared" si="10"/>
        <v>239643</v>
      </c>
      <c r="X35" s="150">
        <f t="shared" si="10"/>
        <v>248497</v>
      </c>
      <c r="Y35" s="150">
        <f t="shared" si="10"/>
        <v>257351</v>
      </c>
      <c r="Z35" s="150">
        <f t="shared" si="10"/>
        <v>266205</v>
      </c>
      <c r="AA35" s="150">
        <f t="shared" si="10"/>
        <v>275059</v>
      </c>
    </row>
    <row r="36" spans="1:27">
      <c r="M36" s="80"/>
      <c r="N36" s="80"/>
      <c r="O36" s="80"/>
      <c r="P36" s="80"/>
      <c r="Q36" s="80"/>
      <c r="R36" s="80"/>
      <c r="S36" s="139"/>
      <c r="T36" s="139"/>
      <c r="U36" s="142"/>
      <c r="V36" s="142"/>
      <c r="W36" s="142"/>
      <c r="X36" s="142"/>
      <c r="Y36" s="142"/>
      <c r="Z36" s="142"/>
      <c r="AA36" s="142"/>
    </row>
    <row r="37" spans="1:27">
      <c r="A37" s="269" t="s">
        <v>324</v>
      </c>
      <c r="B37" s="270"/>
      <c r="C37" s="270"/>
      <c r="D37" s="270"/>
      <c r="E37" s="270"/>
      <c r="F37" s="270"/>
      <c r="G37" s="270"/>
      <c r="H37" s="270"/>
      <c r="I37" s="270"/>
      <c r="J37" s="270"/>
      <c r="K37" s="270"/>
      <c r="L37" s="270"/>
      <c r="M37" s="270"/>
      <c r="N37" s="270"/>
      <c r="O37" s="270"/>
      <c r="P37" s="270"/>
      <c r="Q37" s="271"/>
      <c r="R37" s="251"/>
      <c r="S37" s="252"/>
      <c r="T37" s="253"/>
      <c r="U37" s="275"/>
      <c r="V37" s="276"/>
      <c r="W37" s="276"/>
      <c r="X37" s="276"/>
      <c r="Y37" s="276"/>
      <c r="Z37" s="276"/>
      <c r="AA37" s="277"/>
    </row>
    <row r="38" spans="1:27">
      <c r="A38" s="146" t="s">
        <v>292</v>
      </c>
      <c r="B38" s="144"/>
      <c r="C38" s="144"/>
      <c r="D38" s="144"/>
      <c r="E38" s="144"/>
      <c r="F38" s="144"/>
      <c r="G38" s="144"/>
      <c r="H38" s="144"/>
      <c r="I38" s="144"/>
      <c r="J38" s="144"/>
      <c r="K38" s="144"/>
      <c r="L38" s="144"/>
      <c r="M38" s="151">
        <f>ABS((M30/M$29)-(M21/M$20))</f>
        <v>1.188834278437592E-2</v>
      </c>
      <c r="N38" s="151">
        <f t="shared" ref="M38:Q43" si="11">ABS((N30/N$29)-(N21/N$20))</f>
        <v>1.2096308894765892E-2</v>
      </c>
      <c r="O38" s="151">
        <f t="shared" si="11"/>
        <v>1.3185666401694808E-2</v>
      </c>
      <c r="P38" s="151">
        <f t="shared" si="11"/>
        <v>1.1723823299891085E-2</v>
      </c>
      <c r="Q38" s="151">
        <f t="shared" si="11"/>
        <v>1.3338983402781449E-2</v>
      </c>
      <c r="R38" s="254"/>
      <c r="S38" s="255"/>
      <c r="T38" s="256"/>
      <c r="U38" s="151">
        <f t="shared" ref="U38:AA43" si="12">ABS((U30/U$29)-(U21/U$20))</f>
        <v>1.369815031900014E-2</v>
      </c>
      <c r="V38" s="151">
        <f t="shared" si="12"/>
        <v>1.4054699360302122E-2</v>
      </c>
      <c r="W38" s="151">
        <f t="shared" si="12"/>
        <v>1.4408747930964843E-2</v>
      </c>
      <c r="X38" s="151">
        <f t="shared" si="12"/>
        <v>1.4760411069241933E-2</v>
      </c>
      <c r="Y38" s="151">
        <f t="shared" si="12"/>
        <v>1.5109796153295781E-2</v>
      </c>
      <c r="Z38" s="151">
        <f t="shared" si="12"/>
        <v>1.5457003529950272E-2</v>
      </c>
      <c r="AA38" s="151">
        <f t="shared" si="12"/>
        <v>1.5802127082509027E-2</v>
      </c>
    </row>
    <row r="39" spans="1:27">
      <c r="A39" s="146" t="s">
        <v>293</v>
      </c>
      <c r="B39" s="144"/>
      <c r="C39" s="144"/>
      <c r="D39" s="144"/>
      <c r="E39" s="144"/>
      <c r="F39" s="144"/>
      <c r="G39" s="144"/>
      <c r="H39" s="144"/>
      <c r="I39" s="144"/>
      <c r="J39" s="144"/>
      <c r="K39" s="144"/>
      <c r="L39" s="144"/>
      <c r="M39" s="151">
        <f>ABS((M31/M$29)-(M22/M$20))</f>
        <v>2.9867958161079046E-2</v>
      </c>
      <c r="N39" s="151">
        <f t="shared" si="11"/>
        <v>2.8050082151043845E-2</v>
      </c>
      <c r="O39" s="151">
        <f t="shared" si="11"/>
        <v>2.5653484494857631E-2</v>
      </c>
      <c r="P39" s="151">
        <f t="shared" si="11"/>
        <v>2.5945480271731425E-2</v>
      </c>
      <c r="Q39" s="151">
        <f t="shared" si="11"/>
        <v>2.5092989238541273E-2</v>
      </c>
      <c r="R39" s="254"/>
      <c r="S39" s="255"/>
      <c r="T39" s="256"/>
      <c r="U39" s="151">
        <f t="shared" si="12"/>
        <v>2.3577481456185E-2</v>
      </c>
      <c r="V39" s="151">
        <f t="shared" si="12"/>
        <v>2.2009259379714024E-2</v>
      </c>
      <c r="W39" s="151">
        <f t="shared" si="12"/>
        <v>2.0391179909476476E-2</v>
      </c>
      <c r="X39" s="151">
        <f t="shared" si="12"/>
        <v>1.8725912347200294E-2</v>
      </c>
      <c r="Y39" s="151">
        <f t="shared" si="12"/>
        <v>1.7015947558513357E-2</v>
      </c>
      <c r="Z39" s="151">
        <f t="shared" si="12"/>
        <v>1.5263612620723245E-2</v>
      </c>
      <c r="AA39" s="151">
        <f t="shared" si="12"/>
        <v>1.3471084051026759E-2</v>
      </c>
    </row>
    <row r="40" spans="1:27">
      <c r="A40" s="146" t="s">
        <v>294</v>
      </c>
      <c r="B40" s="144"/>
      <c r="C40" s="144"/>
      <c r="D40" s="144"/>
      <c r="E40" s="144"/>
      <c r="F40" s="144"/>
      <c r="G40" s="144"/>
      <c r="H40" s="144"/>
      <c r="I40" s="144"/>
      <c r="J40" s="144"/>
      <c r="K40" s="144"/>
      <c r="L40" s="144"/>
      <c r="M40" s="151">
        <f t="shared" si="11"/>
        <v>0.12388487109818069</v>
      </c>
      <c r="N40" s="151">
        <f t="shared" si="11"/>
        <v>0.11973997527120378</v>
      </c>
      <c r="O40" s="151">
        <f t="shared" si="11"/>
        <v>0.12372665451628656</v>
      </c>
      <c r="P40" s="151">
        <f t="shared" si="11"/>
        <v>0.12526325326037616</v>
      </c>
      <c r="Q40" s="151">
        <f t="shared" si="11"/>
        <v>0.13274005430017524</v>
      </c>
      <c r="R40" s="254"/>
      <c r="S40" s="255"/>
      <c r="T40" s="256"/>
      <c r="U40" s="151">
        <f t="shared" si="12"/>
        <v>0.13401926206922704</v>
      </c>
      <c r="V40" s="151">
        <f t="shared" si="12"/>
        <v>0.13504322757372683</v>
      </c>
      <c r="W40" s="151">
        <f t="shared" si="12"/>
        <v>0.13582544568208244</v>
      </c>
      <c r="X40" s="151">
        <f t="shared" si="12"/>
        <v>0.13637848585976653</v>
      </c>
      <c r="Y40" s="151">
        <f t="shared" si="12"/>
        <v>0.13671407792842802</v>
      </c>
      <c r="Z40" s="151">
        <f t="shared" si="12"/>
        <v>0.13684318099082951</v>
      </c>
      <c r="AA40" s="151">
        <f t="shared" si="12"/>
        <v>0.13677604567601859</v>
      </c>
    </row>
    <row r="41" spans="1:27">
      <c r="A41" s="146" t="s">
        <v>300</v>
      </c>
      <c r="B41" s="144"/>
      <c r="C41" s="144"/>
      <c r="D41" s="144"/>
      <c r="E41" s="144"/>
      <c r="F41" s="144"/>
      <c r="G41" s="144"/>
      <c r="H41" s="144"/>
      <c r="I41" s="144"/>
      <c r="J41" s="144"/>
      <c r="K41" s="144"/>
      <c r="L41" s="144"/>
      <c r="M41" s="151">
        <f t="shared" si="11"/>
        <v>7.8749023007166186E-2</v>
      </c>
      <c r="N41" s="151">
        <f t="shared" si="11"/>
        <v>7.7526585534943904E-2</v>
      </c>
      <c r="O41" s="151">
        <f t="shared" si="11"/>
        <v>7.9983294175136554E-2</v>
      </c>
      <c r="P41" s="151">
        <f t="shared" si="11"/>
        <v>7.0454572859458997E-2</v>
      </c>
      <c r="Q41" s="151">
        <f t="shared" si="11"/>
        <v>7.4803056526210165E-2</v>
      </c>
      <c r="R41" s="254"/>
      <c r="S41" s="255"/>
      <c r="T41" s="256"/>
      <c r="U41" s="151">
        <f t="shared" si="12"/>
        <v>7.3348370579307598E-2</v>
      </c>
      <c r="V41" s="151">
        <f t="shared" si="12"/>
        <v>7.1807578583692244E-2</v>
      </c>
      <c r="W41" s="151">
        <f t="shared" si="12"/>
        <v>7.0184917043916939E-2</v>
      </c>
      <c r="X41" s="151">
        <f t="shared" si="12"/>
        <v>6.8484724389155427E-2</v>
      </c>
      <c r="Y41" s="151">
        <f t="shared" si="12"/>
        <v>6.6711049106640163E-2</v>
      </c>
      <c r="Z41" s="151">
        <f t="shared" si="12"/>
        <v>6.4867673542783777E-2</v>
      </c>
      <c r="AA41" s="151">
        <f t="shared" si="12"/>
        <v>6.2958135397646497E-2</v>
      </c>
    </row>
    <row r="42" spans="1:27">
      <c r="A42" s="146" t="s">
        <v>297</v>
      </c>
      <c r="B42" s="144"/>
      <c r="C42" s="144"/>
      <c r="D42" s="144"/>
      <c r="E42" s="144"/>
      <c r="F42" s="144"/>
      <c r="G42" s="144"/>
      <c r="H42" s="144"/>
      <c r="I42" s="144"/>
      <c r="J42" s="144"/>
      <c r="K42" s="144"/>
      <c r="L42" s="144"/>
      <c r="M42" s="151">
        <f t="shared" si="11"/>
        <v>5.8534866550392917E-4</v>
      </c>
      <c r="N42" s="151">
        <f t="shared" si="11"/>
        <v>7.958724768833067E-5</v>
      </c>
      <c r="O42" s="151">
        <f t="shared" si="11"/>
        <v>4.7263851191123654E-4</v>
      </c>
      <c r="P42" s="151">
        <f t="shared" si="11"/>
        <v>6.2614469669323991E-4</v>
      </c>
      <c r="Q42" s="151">
        <f t="shared" si="11"/>
        <v>1.5240541228753318E-3</v>
      </c>
      <c r="R42" s="254"/>
      <c r="S42" s="255"/>
      <c r="T42" s="256"/>
      <c r="U42" s="151">
        <f t="shared" si="12"/>
        <v>1.9658428830115517E-3</v>
      </c>
      <c r="V42" s="151">
        <f t="shared" si="12"/>
        <v>2.4192844409360627E-3</v>
      </c>
      <c r="W42" s="151">
        <f t="shared" si="12"/>
        <v>2.8837533871377899E-3</v>
      </c>
      <c r="X42" s="151">
        <f t="shared" si="12"/>
        <v>3.3586547166421163E-3</v>
      </c>
      <c r="Y42" s="151">
        <f t="shared" si="12"/>
        <v>3.8434332063881846E-3</v>
      </c>
      <c r="Z42" s="151">
        <f t="shared" si="12"/>
        <v>4.3375701495251759E-3</v>
      </c>
      <c r="AA42" s="151">
        <f t="shared" si="12"/>
        <v>4.840580406199977E-3</v>
      </c>
    </row>
    <row r="43" spans="1:27">
      <c r="A43" s="146" t="s">
        <v>298</v>
      </c>
      <c r="B43" s="144"/>
      <c r="C43" s="144"/>
      <c r="D43" s="144"/>
      <c r="E43" s="144"/>
      <c r="F43" s="144"/>
      <c r="G43" s="144"/>
      <c r="H43" s="144"/>
      <c r="I43" s="144"/>
      <c r="J43" s="144"/>
      <c r="K43" s="144"/>
      <c r="L43" s="144"/>
      <c r="M43" s="151">
        <f t="shared" si="11"/>
        <v>8.6307555278880566E-2</v>
      </c>
      <c r="N43" s="151">
        <f t="shared" si="11"/>
        <v>8.2439368029757959E-2</v>
      </c>
      <c r="O43" s="151">
        <f t="shared" si="11"/>
        <v>8.3054556214399222E-2</v>
      </c>
      <c r="P43" s="151">
        <f t="shared" si="11"/>
        <v>9.3105386674866258E-2</v>
      </c>
      <c r="Q43" s="151">
        <f t="shared" si="11"/>
        <v>9.7893688014478258E-2</v>
      </c>
      <c r="R43" s="254"/>
      <c r="S43" s="255"/>
      <c r="T43" s="256"/>
      <c r="U43" s="151">
        <f t="shared" si="12"/>
        <v>9.9912366148116133E-2</v>
      </c>
      <c r="V43" s="151">
        <f t="shared" si="12"/>
        <v>0.1017188921709869</v>
      </c>
      <c r="W43" s="151">
        <f t="shared" si="12"/>
        <v>0.10332420986574459</v>
      </c>
      <c r="X43" s="151">
        <f t="shared" si="12"/>
        <v>0.10473873960369545</v>
      </c>
      <c r="Y43" s="151">
        <f t="shared" si="12"/>
        <v>0.10597220573998517</v>
      </c>
      <c r="Z43" s="151">
        <f t="shared" si="12"/>
        <v>0.1070336937482444</v>
      </c>
      <c r="AA43" s="151">
        <f t="shared" si="12"/>
        <v>0.10793170181810777</v>
      </c>
    </row>
    <row r="44" spans="1:27">
      <c r="A44" s="145" t="s">
        <v>325</v>
      </c>
      <c r="B44" s="145"/>
      <c r="C44" s="145"/>
      <c r="D44" s="145"/>
      <c r="E44" s="145"/>
      <c r="F44" s="145"/>
      <c r="G44" s="145"/>
      <c r="H44" s="145"/>
      <c r="I44" s="145"/>
      <c r="J44" s="145"/>
      <c r="K44" s="145"/>
      <c r="L44" s="145"/>
      <c r="M44" s="152">
        <f>SUM(M38:M43)</f>
        <v>0.33128309899518632</v>
      </c>
      <c r="N44" s="152">
        <f t="shared" ref="N44:Q44" si="13">SUM(N38:N43)</f>
        <v>0.31993190712940373</v>
      </c>
      <c r="O44" s="152">
        <f t="shared" si="13"/>
        <v>0.32607629431428597</v>
      </c>
      <c r="P44" s="152">
        <f t="shared" si="13"/>
        <v>0.32711866106301712</v>
      </c>
      <c r="Q44" s="152">
        <f t="shared" si="13"/>
        <v>0.34539282560506168</v>
      </c>
      <c r="R44" s="254"/>
      <c r="S44" s="255"/>
      <c r="T44" s="256"/>
      <c r="U44" s="152">
        <f t="shared" ref="U44:AA44" si="14">SUM(U38:U43)</f>
        <v>0.34652147345484746</v>
      </c>
      <c r="V44" s="152">
        <f t="shared" si="14"/>
        <v>0.34705294150935817</v>
      </c>
      <c r="W44" s="152">
        <f t="shared" si="14"/>
        <v>0.34701825381932305</v>
      </c>
      <c r="X44" s="152">
        <f t="shared" si="14"/>
        <v>0.34644692798570176</v>
      </c>
      <c r="Y44" s="152">
        <f t="shared" si="14"/>
        <v>0.34536650969325067</v>
      </c>
      <c r="Z44" s="152">
        <f t="shared" si="14"/>
        <v>0.34380273458205635</v>
      </c>
      <c r="AA44" s="152">
        <f t="shared" si="14"/>
        <v>0.34177967443150858</v>
      </c>
    </row>
    <row r="45" spans="1:27">
      <c r="A45" s="143" t="s">
        <v>326</v>
      </c>
      <c r="B45" s="144"/>
      <c r="C45" s="144"/>
      <c r="D45" s="144"/>
      <c r="E45" s="144"/>
      <c r="F45" s="144"/>
      <c r="G45" s="144"/>
      <c r="H45" s="144"/>
      <c r="I45" s="144"/>
      <c r="J45" s="144"/>
      <c r="K45" s="144"/>
      <c r="L45" s="144"/>
      <c r="M45" s="144"/>
      <c r="N45" s="144"/>
      <c r="O45" s="144"/>
      <c r="P45" s="144"/>
      <c r="Q45" s="144"/>
      <c r="R45" s="254"/>
      <c r="S45" s="255"/>
      <c r="T45" s="256"/>
      <c r="U45" s="151">
        <v>0.34769952440069402</v>
      </c>
      <c r="V45" s="151">
        <v>0.34946304884589036</v>
      </c>
      <c r="W45" s="151">
        <v>0.35070990244520273</v>
      </c>
      <c r="X45" s="151">
        <v>0.35146549302818952</v>
      </c>
      <c r="Y45" s="151">
        <v>0.35175362496099633</v>
      </c>
      <c r="Z45" s="151">
        <v>0.35159662360131116</v>
      </c>
      <c r="AA45" s="151">
        <v>0.35101544833900011</v>
      </c>
    </row>
    <row r="46" spans="1:27">
      <c r="A46" s="143" t="s">
        <v>327</v>
      </c>
      <c r="B46" s="144"/>
      <c r="C46" s="144"/>
      <c r="D46" s="144"/>
      <c r="E46" s="144"/>
      <c r="F46" s="144"/>
      <c r="G46" s="144"/>
      <c r="H46" s="144"/>
      <c r="I46" s="144"/>
      <c r="J46" s="144"/>
      <c r="K46" s="144"/>
      <c r="L46" s="144"/>
      <c r="M46" s="144"/>
      <c r="N46" s="144"/>
      <c r="O46" s="144"/>
      <c r="P46" s="144"/>
      <c r="Q46" s="144"/>
      <c r="R46" s="257"/>
      <c r="S46" s="258"/>
      <c r="T46" s="259"/>
      <c r="U46" s="151">
        <f>U44-U45</f>
        <v>-1.1780509458465538E-3</v>
      </c>
      <c r="V46" s="151">
        <f t="shared" ref="V46:AA46" si="15">V44-V45</f>
        <v>-2.4101073365321857E-3</v>
      </c>
      <c r="W46" s="151">
        <f t="shared" si="15"/>
        <v>-3.6916486258796732E-3</v>
      </c>
      <c r="X46" s="151">
        <f t="shared" si="15"/>
        <v>-5.0185650424877659E-3</v>
      </c>
      <c r="Y46" s="151">
        <f t="shared" si="15"/>
        <v>-6.3871152677456577E-3</v>
      </c>
      <c r="Z46" s="151">
        <f t="shared" si="15"/>
        <v>-7.7938890192548183E-3</v>
      </c>
      <c r="AA46" s="151">
        <f t="shared" si="15"/>
        <v>-9.235773907491529E-3</v>
      </c>
    </row>
    <row r="47" spans="1:27">
      <c r="A47" s="79"/>
      <c r="S47" s="139"/>
      <c r="T47" s="139"/>
      <c r="U47" s="142"/>
      <c r="V47" s="142"/>
      <c r="W47" s="142"/>
      <c r="X47" s="142"/>
      <c r="Y47" s="142"/>
      <c r="Z47" s="142"/>
      <c r="AA47" s="142"/>
    </row>
    <row r="48" spans="1:27">
      <c r="A48" s="269" t="s">
        <v>328</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1"/>
    </row>
    <row r="49" spans="1:27">
      <c r="A49" s="146" t="s">
        <v>292</v>
      </c>
      <c r="B49" s="144"/>
      <c r="C49" s="144"/>
      <c r="D49" s="144"/>
      <c r="E49" s="144"/>
      <c r="F49" s="144"/>
      <c r="G49" s="144"/>
      <c r="H49" s="144"/>
      <c r="I49" s="144"/>
      <c r="J49" s="144"/>
      <c r="K49" s="144"/>
      <c r="L49" s="144"/>
      <c r="M49" s="153">
        <f>M30/M21</f>
        <v>9.347011244821464E-2</v>
      </c>
      <c r="N49" s="153">
        <f t="shared" ref="N49:Q49" si="16">N30/N21</f>
        <v>0.10466344702686387</v>
      </c>
      <c r="O49" s="153">
        <f t="shared" si="16"/>
        <v>0.14945786101527847</v>
      </c>
      <c r="P49" s="153">
        <f t="shared" si="16"/>
        <v>0.13373694895591648</v>
      </c>
      <c r="Q49" s="153">
        <f t="shared" si="16"/>
        <v>8.4774264302686891E-2</v>
      </c>
      <c r="R49" s="260"/>
      <c r="S49" s="261"/>
      <c r="T49" s="262"/>
      <c r="U49" s="153">
        <f>U30/U21</f>
        <v>8.2796374405456341E-2</v>
      </c>
      <c r="V49" s="153">
        <f t="shared" ref="V49:AA54" si="17">V30/V21</f>
        <v>8.0888575458392106E-2</v>
      </c>
      <c r="W49" s="153">
        <f t="shared" si="17"/>
        <v>7.9047206582936333E-2</v>
      </c>
      <c r="X49" s="153">
        <f t="shared" si="17"/>
        <v>7.7268857483398609E-2</v>
      </c>
      <c r="Y49" s="153">
        <f t="shared" si="17"/>
        <v>7.5550347367539974E-2</v>
      </c>
      <c r="Z49" s="153">
        <f t="shared" si="17"/>
        <v>7.3888705959828785E-2</v>
      </c>
      <c r="AA49" s="153">
        <f t="shared" si="17"/>
        <v>7.2281156368936755E-2</v>
      </c>
    </row>
    <row r="50" spans="1:27">
      <c r="A50" s="146" t="s">
        <v>293</v>
      </c>
      <c r="B50" s="144"/>
      <c r="C50" s="144"/>
      <c r="D50" s="144"/>
      <c r="E50" s="144"/>
      <c r="F50" s="144"/>
      <c r="G50" s="144"/>
      <c r="H50" s="144"/>
      <c r="I50" s="144"/>
      <c r="J50" s="144"/>
      <c r="K50" s="144"/>
      <c r="L50" s="144"/>
      <c r="M50" s="153">
        <f t="shared" ref="M50:Q54" si="18">M31/M22</f>
        <v>0.16703185154925043</v>
      </c>
      <c r="N50" s="153">
        <f t="shared" si="18"/>
        <v>0.17658965499458512</v>
      </c>
      <c r="O50" s="153">
        <f t="shared" si="18"/>
        <v>0.19622028043080675</v>
      </c>
      <c r="P50" s="153">
        <f t="shared" si="18"/>
        <v>0.17903143440762598</v>
      </c>
      <c r="Q50" s="153">
        <f t="shared" si="18"/>
        <v>0.15107531212243255</v>
      </c>
      <c r="R50" s="263"/>
      <c r="S50" s="264"/>
      <c r="T50" s="265"/>
      <c r="U50" s="153">
        <f t="shared" ref="U50:Z54" si="19">U31/U22</f>
        <v>0.14541178315665235</v>
      </c>
      <c r="V50" s="153">
        <f t="shared" si="19"/>
        <v>0.13861460670271</v>
      </c>
      <c r="W50" s="153">
        <f t="shared" si="19"/>
        <v>0.13030555116641457</v>
      </c>
      <c r="X50" s="153">
        <f t="shared" si="19"/>
        <v>0.11991707258466806</v>
      </c>
      <c r="Y50" s="153">
        <f t="shared" si="19"/>
        <v>0.10655693084738321</v>
      </c>
      <c r="Z50" s="153">
        <f t="shared" si="19"/>
        <v>8.8737234447791483E-2</v>
      </c>
      <c r="AA50" s="153">
        <f t="shared" si="17"/>
        <v>6.3777797851022056E-2</v>
      </c>
    </row>
    <row r="51" spans="1:27">
      <c r="A51" s="146" t="s">
        <v>294</v>
      </c>
      <c r="B51" s="144"/>
      <c r="C51" s="144"/>
      <c r="D51" s="144"/>
      <c r="E51" s="144"/>
      <c r="F51" s="144"/>
      <c r="G51" s="144"/>
      <c r="H51" s="144"/>
      <c r="I51" s="144"/>
      <c r="J51" s="144"/>
      <c r="K51" s="144"/>
      <c r="L51" s="144"/>
      <c r="M51" s="153">
        <f t="shared" si="18"/>
        <v>0.25034574412857946</v>
      </c>
      <c r="N51" s="153">
        <f t="shared" si="18"/>
        <v>0.26067928417894687</v>
      </c>
      <c r="O51" s="153">
        <f t="shared" si="18"/>
        <v>0.26185703597146981</v>
      </c>
      <c r="P51" s="153">
        <f t="shared" si="18"/>
        <v>0.25271797667353946</v>
      </c>
      <c r="Q51" s="153">
        <f t="shared" si="18"/>
        <v>0.23639153718475833</v>
      </c>
      <c r="R51" s="263"/>
      <c r="S51" s="264"/>
      <c r="T51" s="265"/>
      <c r="U51" s="153">
        <f t="shared" si="19"/>
        <v>0.23254634919312633</v>
      </c>
      <c r="V51" s="153">
        <f t="shared" si="19"/>
        <v>0.22851856585822342</v>
      </c>
      <c r="W51" s="153">
        <f t="shared" si="19"/>
        <v>0.22429486457741254</v>
      </c>
      <c r="X51" s="153">
        <f t="shared" si="19"/>
        <v>0.21986059437472374</v>
      </c>
      <c r="Y51" s="153">
        <f t="shared" si="19"/>
        <v>0.21519960610615332</v>
      </c>
      <c r="Z51" s="153">
        <f t="shared" si="19"/>
        <v>0.21029405593759623</v>
      </c>
      <c r="AA51" s="153">
        <f t="shared" si="17"/>
        <v>0.20512417705482755</v>
      </c>
    </row>
    <row r="52" spans="1:27">
      <c r="A52" s="146" t="s">
        <v>300</v>
      </c>
      <c r="B52" s="144"/>
      <c r="C52" s="144"/>
      <c r="D52" s="144"/>
      <c r="E52" s="144"/>
      <c r="F52" s="144"/>
      <c r="G52" s="144"/>
      <c r="H52" s="144"/>
      <c r="I52" s="144"/>
      <c r="J52" s="144"/>
      <c r="K52" s="144"/>
      <c r="L52" s="144"/>
      <c r="M52" s="153">
        <f t="shared" si="18"/>
        <v>0.51380182090515136</v>
      </c>
      <c r="N52" s="153">
        <f t="shared" si="18"/>
        <v>0.52338481912406587</v>
      </c>
      <c r="O52" s="153">
        <f t="shared" si="18"/>
        <v>0.55171127620286242</v>
      </c>
      <c r="P52" s="153">
        <f t="shared" si="18"/>
        <v>0.54080273262266032</v>
      </c>
      <c r="Q52" s="153">
        <f t="shared" si="18"/>
        <v>0.54481063522120432</v>
      </c>
      <c r="R52" s="263"/>
      <c r="S52" s="264"/>
      <c r="T52" s="265"/>
      <c r="U52" s="153">
        <f t="shared" si="19"/>
        <v>0.55247702810283761</v>
      </c>
      <c r="V52" s="153">
        <f t="shared" si="19"/>
        <v>0.56001315061942403</v>
      </c>
      <c r="W52" s="153">
        <f t="shared" si="19"/>
        <v>0.56742229520575815</v>
      </c>
      <c r="X52" s="153">
        <f t="shared" si="19"/>
        <v>0.57470764427349541</v>
      </c>
      <c r="Y52" s="153">
        <f t="shared" si="19"/>
        <v>0.5818722747688736</v>
      </c>
      <c r="Z52" s="153">
        <f t="shared" si="19"/>
        <v>0.58891916250573051</v>
      </c>
      <c r="AA52" s="153">
        <f t="shared" si="17"/>
        <v>0.59585118628663825</v>
      </c>
    </row>
    <row r="53" spans="1:27">
      <c r="A53" s="146" t="s">
        <v>297</v>
      </c>
      <c r="B53" s="144"/>
      <c r="C53" s="144"/>
      <c r="D53" s="144"/>
      <c r="E53" s="144"/>
      <c r="F53" s="144"/>
      <c r="G53" s="144"/>
      <c r="H53" s="144"/>
      <c r="I53" s="144"/>
      <c r="J53" s="144"/>
      <c r="K53" s="144"/>
      <c r="L53" s="144"/>
      <c r="M53" s="153">
        <f t="shared" si="18"/>
        <v>0.45347081033981995</v>
      </c>
      <c r="N53" s="153">
        <f t="shared" si="18"/>
        <v>0.44919668633111587</v>
      </c>
      <c r="O53" s="153">
        <f t="shared" si="18"/>
        <v>0.46269931662870162</v>
      </c>
      <c r="P53" s="153">
        <f t="shared" si="18"/>
        <v>0.45819199913853442</v>
      </c>
      <c r="Q53" s="153">
        <f t="shared" si="18"/>
        <v>0.44045038853940899</v>
      </c>
      <c r="R53" s="263"/>
      <c r="S53" s="264"/>
      <c r="T53" s="265"/>
      <c r="U53" s="153">
        <f t="shared" si="19"/>
        <v>0.44026413168304196</v>
      </c>
      <c r="V53" s="153">
        <f t="shared" si="19"/>
        <v>0.44009029011249262</v>
      </c>
      <c r="W53" s="153">
        <f t="shared" si="19"/>
        <v>0.43992766252059112</v>
      </c>
      <c r="X53" s="153">
        <f t="shared" si="19"/>
        <v>0.43977519774272633</v>
      </c>
      <c r="Y53" s="153">
        <f t="shared" si="19"/>
        <v>0.4396319720110341</v>
      </c>
      <c r="Z53" s="153">
        <f t="shared" si="19"/>
        <v>0.43949717022202872</v>
      </c>
      <c r="AA53" s="153">
        <f t="shared" si="17"/>
        <v>0.43937007041508958</v>
      </c>
    </row>
    <row r="54" spans="1:27">
      <c r="A54" s="146" t="s">
        <v>298</v>
      </c>
      <c r="B54" s="144"/>
      <c r="C54" s="144"/>
      <c r="D54" s="144"/>
      <c r="E54" s="144"/>
      <c r="F54" s="144"/>
      <c r="G54" s="144"/>
      <c r="H54" s="144"/>
      <c r="I54" s="144"/>
      <c r="J54" s="144"/>
      <c r="K54" s="144"/>
      <c r="L54" s="144"/>
      <c r="M54" s="153">
        <f t="shared" si="18"/>
        <v>0.68865606152224135</v>
      </c>
      <c r="N54" s="153">
        <f t="shared" si="18"/>
        <v>0.69607601329527968</v>
      </c>
      <c r="O54" s="153">
        <f t="shared" si="18"/>
        <v>0.7263547305809861</v>
      </c>
      <c r="P54" s="153">
        <f t="shared" si="18"/>
        <v>0.73014885953542974</v>
      </c>
      <c r="Q54" s="153">
        <f t="shared" si="18"/>
        <v>0.74438777292576419</v>
      </c>
      <c r="R54" s="266"/>
      <c r="S54" s="267"/>
      <c r="T54" s="268"/>
      <c r="U54" s="153">
        <f t="shared" si="19"/>
        <v>0.75664259133935985</v>
      </c>
      <c r="V54" s="153">
        <f t="shared" si="19"/>
        <v>0.76832089912477819</v>
      </c>
      <c r="W54" s="153">
        <f t="shared" si="19"/>
        <v>0.77946244305919887</v>
      </c>
      <c r="X54" s="153">
        <f t="shared" si="19"/>
        <v>0.79010339828051079</v>
      </c>
      <c r="Y54" s="153">
        <f t="shared" si="19"/>
        <v>0.80027676065645137</v>
      </c>
      <c r="Z54" s="153">
        <f t="shared" si="19"/>
        <v>0.81001268854045272</v>
      </c>
      <c r="AA54" s="153">
        <f t="shared" si="17"/>
        <v>0.81933880137083215</v>
      </c>
    </row>
    <row r="55" spans="1:27">
      <c r="M55" s="81"/>
      <c r="N55" s="81"/>
      <c r="O55" s="81"/>
      <c r="P55" s="81"/>
      <c r="Q55" s="81"/>
      <c r="U55" s="81"/>
      <c r="V55" s="81"/>
      <c r="W55" s="81"/>
      <c r="X55" s="81"/>
      <c r="Y55" s="81"/>
      <c r="Z55" s="81"/>
      <c r="AA55" s="81"/>
    </row>
  </sheetData>
  <mergeCells count="24">
    <mergeCell ref="R37:T46"/>
    <mergeCell ref="R49:T54"/>
    <mergeCell ref="A28:AA28"/>
    <mergeCell ref="A18:R18"/>
    <mergeCell ref="U18:AA18"/>
    <mergeCell ref="A48:AA48"/>
    <mergeCell ref="A37:Q37"/>
    <mergeCell ref="U37:AA37"/>
    <mergeCell ref="N15:AA15"/>
    <mergeCell ref="N16:AA16"/>
    <mergeCell ref="N2:AA2"/>
    <mergeCell ref="M1:AA1"/>
    <mergeCell ref="N9:AA9"/>
    <mergeCell ref="N10:AA10"/>
    <mergeCell ref="N11:AA11"/>
    <mergeCell ref="N12:AA12"/>
    <mergeCell ref="N13:AA13"/>
    <mergeCell ref="N14:AA14"/>
    <mergeCell ref="N3:AA3"/>
    <mergeCell ref="N4:AA4"/>
    <mergeCell ref="N5:AA5"/>
    <mergeCell ref="N6:AA6"/>
    <mergeCell ref="N7:AA7"/>
    <mergeCell ref="N8:AA8"/>
  </mergeCells>
  <pageMargins left="0.75" right="0.75" top="0.75" bottom="0.5" header="0.5" footer="0.7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96"/>
  <sheetViews>
    <sheetView topLeftCell="B1" zoomScale="60" zoomScaleNormal="60" workbookViewId="0">
      <selection activeCell="F25" sqref="F25"/>
    </sheetView>
  </sheetViews>
  <sheetFormatPr defaultRowHeight="14.4"/>
  <cols>
    <col min="2" max="2" width="71.6640625" bestFit="1" customWidth="1"/>
    <col min="3" max="3" width="19" customWidth="1"/>
    <col min="4" max="4" width="15.5546875" customWidth="1"/>
    <col min="5" max="5" width="15" customWidth="1"/>
    <col min="6" max="6" width="18.109375" customWidth="1"/>
    <col min="7" max="8" width="13.88671875" customWidth="1"/>
    <col min="9" max="9" width="12" customWidth="1"/>
    <col min="10" max="11" width="0" style="32" hidden="1" customWidth="1"/>
    <col min="12" max="12" width="13" customWidth="1"/>
    <col min="13" max="13" width="13.88671875" customWidth="1"/>
    <col min="14" max="14" width="11.6640625" customWidth="1"/>
    <col min="15" max="15" width="13.6640625" bestFit="1" customWidth="1"/>
    <col min="16" max="16" width="16.44140625" bestFit="1" customWidth="1"/>
    <col min="17" max="17" width="12.109375" customWidth="1"/>
    <col min="19" max="19" width="9.5546875" bestFit="1" customWidth="1"/>
  </cols>
  <sheetData>
    <row r="1" spans="2:35" ht="60.75" customHeight="1">
      <c r="B1" s="45" t="s">
        <v>212</v>
      </c>
      <c r="C1" s="46" t="s">
        <v>170</v>
      </c>
      <c r="D1" s="46" t="s">
        <v>171</v>
      </c>
      <c r="E1" s="46" t="s">
        <v>172</v>
      </c>
      <c r="F1" s="46" t="s">
        <v>173</v>
      </c>
      <c r="G1" s="46" t="s">
        <v>273</v>
      </c>
      <c r="H1" s="46" t="s">
        <v>174</v>
      </c>
      <c r="I1" s="46" t="s">
        <v>175</v>
      </c>
      <c r="J1" s="46"/>
      <c r="K1" s="46"/>
      <c r="L1" s="46" t="s">
        <v>176</v>
      </c>
      <c r="M1" s="46" t="s">
        <v>177</v>
      </c>
      <c r="N1" s="46" t="s">
        <v>178</v>
      </c>
      <c r="O1" s="46" t="s">
        <v>179</v>
      </c>
      <c r="P1" s="46" t="s">
        <v>180</v>
      </c>
    </row>
    <row r="2" spans="2:35">
      <c r="B2" s="45"/>
      <c r="C2" s="47" t="s">
        <v>181</v>
      </c>
      <c r="D2" s="47" t="s">
        <v>182</v>
      </c>
      <c r="E2" s="47" t="s">
        <v>183</v>
      </c>
      <c r="F2" s="47" t="s">
        <v>184</v>
      </c>
      <c r="G2" s="47" t="s">
        <v>185</v>
      </c>
      <c r="H2" s="47" t="s">
        <v>186</v>
      </c>
      <c r="I2" s="47" t="s">
        <v>187</v>
      </c>
      <c r="J2" s="47" t="s">
        <v>188</v>
      </c>
      <c r="K2" s="47" t="s">
        <v>189</v>
      </c>
      <c r="L2" s="47" t="s">
        <v>190</v>
      </c>
      <c r="M2" s="47" t="s">
        <v>191</v>
      </c>
      <c r="N2" s="47" t="s">
        <v>192</v>
      </c>
      <c r="O2" s="47" t="s">
        <v>193</v>
      </c>
      <c r="P2" s="47" t="s">
        <v>194</v>
      </c>
    </row>
    <row r="3" spans="2:35">
      <c r="B3" s="49">
        <v>2000</v>
      </c>
      <c r="C3" s="71">
        <v>-0.83855319023132324</v>
      </c>
      <c r="D3" s="48">
        <v>19.549519</v>
      </c>
      <c r="E3" s="48">
        <v>2.4855663159999999</v>
      </c>
      <c r="F3" s="48">
        <v>-0.74042407910564123</v>
      </c>
      <c r="G3" s="50">
        <v>10839.449427410087</v>
      </c>
      <c r="H3" s="48">
        <v>36922</v>
      </c>
      <c r="I3" s="48">
        <v>0.80160147358091427</v>
      </c>
      <c r="J3" s="48"/>
      <c r="K3" s="48"/>
      <c r="L3" s="48">
        <v>100</v>
      </c>
      <c r="M3" s="48">
        <v>60</v>
      </c>
      <c r="N3" s="48">
        <v>279.79399999999998</v>
      </c>
      <c r="O3" s="50">
        <v>1646.300219157632</v>
      </c>
      <c r="P3" s="50">
        <v>599308</v>
      </c>
      <c r="R3" s="24"/>
      <c r="S3" s="24"/>
      <c r="T3" s="24"/>
      <c r="U3" s="24"/>
      <c r="V3" s="24"/>
      <c r="W3" s="24"/>
      <c r="X3" s="24"/>
      <c r="Y3" s="24"/>
      <c r="Z3" s="24"/>
      <c r="AA3" s="24"/>
      <c r="AB3" s="24"/>
      <c r="AC3" s="24"/>
      <c r="AD3" s="24"/>
      <c r="AE3" s="24"/>
      <c r="AF3" s="24"/>
      <c r="AG3" s="24"/>
      <c r="AH3" s="24"/>
      <c r="AI3" s="24"/>
    </row>
    <row r="4" spans="2:35">
      <c r="B4" s="49">
        <v>2001</v>
      </c>
      <c r="C4" s="71">
        <v>-0.83855319023132324</v>
      </c>
      <c r="D4" s="48">
        <v>15.114439000000001</v>
      </c>
      <c r="E4" s="48">
        <v>3.4681846080000001</v>
      </c>
      <c r="F4" s="48">
        <v>2.1250202010177119</v>
      </c>
      <c r="G4" s="50">
        <v>10352.443200381056</v>
      </c>
      <c r="H4" s="48">
        <v>40246</v>
      </c>
      <c r="I4" s="48">
        <v>0.71477814360937109</v>
      </c>
      <c r="J4" s="48"/>
      <c r="K4" s="48"/>
      <c r="L4" s="48">
        <v>83.143892199999996</v>
      </c>
      <c r="M4" s="48">
        <v>60</v>
      </c>
      <c r="N4" s="48">
        <v>271.21199999999999</v>
      </c>
      <c r="O4" s="50">
        <v>1635.2226906829205</v>
      </c>
      <c r="P4" s="50">
        <v>599308</v>
      </c>
      <c r="R4" s="4">
        <f>C4/C3-1</f>
        <v>0</v>
      </c>
      <c r="S4" s="24"/>
    </row>
    <row r="5" spans="2:35">
      <c r="B5" s="49">
        <v>2002</v>
      </c>
      <c r="C5" s="71">
        <v>-0.5711672306060791</v>
      </c>
      <c r="D5" s="48">
        <v>15.682703</v>
      </c>
      <c r="E5" s="48">
        <v>17.329999999999998</v>
      </c>
      <c r="F5" s="48">
        <v>-0.45969701833203602</v>
      </c>
      <c r="G5" s="50">
        <v>11263.53186560659</v>
      </c>
      <c r="H5" s="48">
        <v>44710</v>
      </c>
      <c r="I5" s="48">
        <v>0.71533871398130566</v>
      </c>
      <c r="J5" s="48"/>
      <c r="K5" s="48"/>
      <c r="L5" s="48">
        <v>98.434457469999998</v>
      </c>
      <c r="M5" s="48">
        <v>60</v>
      </c>
      <c r="N5" s="48">
        <v>275.26299999999998</v>
      </c>
      <c r="O5" s="50">
        <v>1634.2238537002054</v>
      </c>
      <c r="P5" s="50">
        <v>561341</v>
      </c>
      <c r="R5" s="4">
        <f t="shared" ref="R5:R23" si="0">C5/C4-1</f>
        <v>-0.31886583074292885</v>
      </c>
      <c r="S5" s="24"/>
    </row>
    <row r="6" spans="2:35">
      <c r="B6" s="49">
        <v>2003</v>
      </c>
      <c r="C6" s="71">
        <v>-0.41115620732307434</v>
      </c>
      <c r="D6" s="48">
        <v>18.452345000000001</v>
      </c>
      <c r="E6" s="48">
        <v>19.07</v>
      </c>
      <c r="F6" s="48">
        <v>0.36174577990720147</v>
      </c>
      <c r="G6" s="50">
        <v>11799.693619269663</v>
      </c>
      <c r="H6" s="48">
        <v>45624</v>
      </c>
      <c r="I6" s="48">
        <v>0.71069320490967425</v>
      </c>
      <c r="J6" s="48"/>
      <c r="K6" s="48"/>
      <c r="L6" s="48">
        <v>105.4070988</v>
      </c>
      <c r="M6" s="48">
        <v>60</v>
      </c>
      <c r="N6" s="48">
        <v>281.38099999999997</v>
      </c>
      <c r="O6" s="50">
        <v>1630.9299451425165</v>
      </c>
      <c r="P6" s="50">
        <v>545107.99999999988</v>
      </c>
      <c r="R6" s="4">
        <f t="shared" si="0"/>
        <v>-0.28014741516808184</v>
      </c>
      <c r="S6" s="24"/>
    </row>
    <row r="7" spans="2:35">
      <c r="B7" s="49">
        <v>2004</v>
      </c>
      <c r="C7" s="71">
        <v>-0.18028764426708221</v>
      </c>
      <c r="D7" s="48">
        <v>22.108571999999999</v>
      </c>
      <c r="E7" s="48">
        <v>24.44</v>
      </c>
      <c r="F7" s="48">
        <v>0</v>
      </c>
      <c r="G7" s="50">
        <v>11561.520212486874</v>
      </c>
      <c r="H7" s="48">
        <v>46637</v>
      </c>
      <c r="I7" s="48">
        <v>0.80870128852578116</v>
      </c>
      <c r="J7" s="48"/>
      <c r="K7" s="48"/>
      <c r="L7" s="48">
        <v>118.6589172</v>
      </c>
      <c r="M7" s="48">
        <v>60</v>
      </c>
      <c r="N7" s="48">
        <v>294.53399999999999</v>
      </c>
      <c r="O7" s="50">
        <v>1639.1776596434577</v>
      </c>
      <c r="P7" s="50">
        <v>522995</v>
      </c>
      <c r="R7" s="4">
        <f t="shared" si="0"/>
        <v>-0.56151058635138751</v>
      </c>
      <c r="S7" s="24"/>
    </row>
    <row r="8" spans="2:35">
      <c r="B8" s="49">
        <v>2005</v>
      </c>
      <c r="C8" s="71">
        <v>-0.33900865912437439</v>
      </c>
      <c r="D8" s="48">
        <v>19.482234000000002</v>
      </c>
      <c r="E8" s="48">
        <v>26.45</v>
      </c>
      <c r="F8" s="48">
        <v>-0.51603815272699827</v>
      </c>
      <c r="G8" s="50">
        <v>11488.358444240253</v>
      </c>
      <c r="H8" s="48">
        <v>49364</v>
      </c>
      <c r="I8" s="48">
        <v>0.8584100347871757</v>
      </c>
      <c r="J8" s="48"/>
      <c r="K8" s="48"/>
      <c r="L8" s="48">
        <v>117.98274960000001</v>
      </c>
      <c r="M8" s="48">
        <v>60</v>
      </c>
      <c r="N8" s="48">
        <v>308.447</v>
      </c>
      <c r="O8" s="50">
        <v>1641.6366273033882</v>
      </c>
      <c r="P8" s="50">
        <v>545253</v>
      </c>
      <c r="R8" s="4">
        <f t="shared" si="0"/>
        <v>0.88037655327150022</v>
      </c>
      <c r="S8" s="24"/>
    </row>
    <row r="9" spans="2:35">
      <c r="B9" s="49">
        <v>2006</v>
      </c>
      <c r="C9" s="71">
        <v>-0.13468649983406067</v>
      </c>
      <c r="D9" s="48">
        <v>23.910426999999999</v>
      </c>
      <c r="E9" s="48">
        <v>28.62</v>
      </c>
      <c r="F9" s="48">
        <v>-3.5616629630003542</v>
      </c>
      <c r="G9" s="50">
        <v>11989.165752972953</v>
      </c>
      <c r="H9" s="48">
        <v>48368</v>
      </c>
      <c r="I9" s="48">
        <v>0.92551666467566596</v>
      </c>
      <c r="J9" s="48"/>
      <c r="K9" s="48"/>
      <c r="L9" s="48">
        <v>126.938126</v>
      </c>
      <c r="M9" s="48">
        <v>60</v>
      </c>
      <c r="N9" s="48">
        <v>324.29199999999997</v>
      </c>
      <c r="O9" s="50">
        <v>1650.3451859760282</v>
      </c>
      <c r="P9" s="50">
        <v>570404</v>
      </c>
      <c r="R9" s="4">
        <f t="shared" si="0"/>
        <v>-0.60270483892080373</v>
      </c>
      <c r="S9" s="24"/>
    </row>
    <row r="10" spans="2:35">
      <c r="B10" s="49">
        <v>2007</v>
      </c>
      <c r="C10" s="71">
        <v>-0.24419380724430084</v>
      </c>
      <c r="D10" s="48">
        <v>22.258526000000003</v>
      </c>
      <c r="E10" s="48">
        <v>36.299999999999997</v>
      </c>
      <c r="F10" s="48">
        <v>-0.73402338696663971</v>
      </c>
      <c r="G10" s="50">
        <v>11869.625073142241</v>
      </c>
      <c r="H10" s="48">
        <v>58199</v>
      </c>
      <c r="I10" s="48">
        <v>1.0609323417960841</v>
      </c>
      <c r="J10" s="48"/>
      <c r="K10" s="48"/>
      <c r="L10" s="48">
        <v>163.535932</v>
      </c>
      <c r="M10" s="48">
        <v>31</v>
      </c>
      <c r="N10" s="48">
        <v>345.28500000000003</v>
      </c>
      <c r="O10" s="50">
        <v>1667.4415110489099</v>
      </c>
      <c r="P10" s="50">
        <v>590234</v>
      </c>
      <c r="R10" s="4">
        <f t="shared" si="0"/>
        <v>0.81305333158971171</v>
      </c>
      <c r="S10" s="24"/>
    </row>
    <row r="11" spans="2:35">
      <c r="B11" s="49">
        <v>2008</v>
      </c>
      <c r="C11" s="71">
        <v>-9.5967896282672882E-2</v>
      </c>
      <c r="D11" s="48">
        <v>23.702630000000003</v>
      </c>
      <c r="E11" s="48">
        <v>46.04</v>
      </c>
      <c r="F11" s="48">
        <v>-3.1450741008165148</v>
      </c>
      <c r="G11" s="50">
        <v>13152.536870890348</v>
      </c>
      <c r="H11" s="48">
        <v>65504</v>
      </c>
      <c r="I11" s="48">
        <v>1.1157005471329751</v>
      </c>
      <c r="J11" s="48"/>
      <c r="K11" s="48"/>
      <c r="L11" s="48">
        <v>180.3018616</v>
      </c>
      <c r="M11" s="48">
        <v>28</v>
      </c>
      <c r="N11" s="48">
        <v>364.17899999999997</v>
      </c>
      <c r="O11" s="50">
        <v>1699.9470104685827</v>
      </c>
      <c r="P11" s="50">
        <v>609015</v>
      </c>
      <c r="R11" s="4">
        <f t="shared" si="0"/>
        <v>-0.6070011055331026</v>
      </c>
      <c r="S11" s="24"/>
    </row>
    <row r="12" spans="2:35">
      <c r="B12" s="49">
        <v>2009</v>
      </c>
      <c r="C12" s="71">
        <v>-0.1358233243227005</v>
      </c>
      <c r="D12" s="48">
        <v>22.942484</v>
      </c>
      <c r="E12" s="48">
        <v>51.77</v>
      </c>
      <c r="F12" s="48">
        <v>-0.54983926112332493</v>
      </c>
      <c r="G12" s="50">
        <v>13083.114955015031</v>
      </c>
      <c r="H12" s="48">
        <v>65200</v>
      </c>
      <c r="I12" s="48">
        <v>0.8717699494961676</v>
      </c>
      <c r="J12" s="48"/>
      <c r="K12" s="48"/>
      <c r="L12" s="48">
        <v>141.6534169</v>
      </c>
      <c r="M12" s="48">
        <v>22</v>
      </c>
      <c r="N12" s="48">
        <v>362.87299999999999</v>
      </c>
      <c r="O12" s="50">
        <v>1729.760449582318</v>
      </c>
      <c r="P12" s="50">
        <v>629900.99999999988</v>
      </c>
      <c r="R12" s="4">
        <f t="shared" si="0"/>
        <v>0.41529959063220145</v>
      </c>
      <c r="S12" s="24"/>
    </row>
    <row r="13" spans="2:35">
      <c r="B13" s="49">
        <v>2010</v>
      </c>
      <c r="C13" s="71">
        <v>-0.18786042928695679</v>
      </c>
      <c r="D13" s="48">
        <v>25.025815999999999</v>
      </c>
      <c r="E13" s="48">
        <v>51.9</v>
      </c>
      <c r="F13" s="48">
        <v>5.1767066005995579</v>
      </c>
      <c r="G13" s="50">
        <v>14188.843107264522</v>
      </c>
      <c r="H13" s="48">
        <v>61764</v>
      </c>
      <c r="I13" s="48">
        <v>0.97881069115656216</v>
      </c>
      <c r="J13" s="48"/>
      <c r="K13" s="48"/>
      <c r="L13" s="48">
        <v>139.6245016</v>
      </c>
      <c r="M13" s="48">
        <v>17</v>
      </c>
      <c r="N13" s="48">
        <v>375.06099999999998</v>
      </c>
      <c r="O13" s="50">
        <v>1754.4549218017235</v>
      </c>
      <c r="P13" s="50">
        <v>637855.00000000012</v>
      </c>
      <c r="R13" s="4">
        <f t="shared" si="0"/>
        <v>0.38312348209518232</v>
      </c>
      <c r="S13" s="24"/>
    </row>
    <row r="14" spans="2:35">
      <c r="B14" s="49">
        <v>2011</v>
      </c>
      <c r="C14" s="71">
        <v>-0.22972145676612854</v>
      </c>
      <c r="D14" s="48">
        <v>27.343129000000001</v>
      </c>
      <c r="E14" s="48">
        <v>56.7</v>
      </c>
      <c r="F14" s="48">
        <v>-0.24342114465622955</v>
      </c>
      <c r="G14" s="50">
        <v>14593.980145986046</v>
      </c>
      <c r="H14" s="48">
        <v>61764</v>
      </c>
      <c r="I14" s="48">
        <v>1.1319212557035325</v>
      </c>
      <c r="J14" s="48"/>
      <c r="K14" s="48"/>
      <c r="L14" s="48">
        <v>149.98007630000001</v>
      </c>
      <c r="M14" s="48">
        <v>16</v>
      </c>
      <c r="N14" s="48">
        <v>383.83699999999999</v>
      </c>
      <c r="O14" s="50">
        <v>1793.9462954314827</v>
      </c>
      <c r="P14" s="50">
        <v>645085</v>
      </c>
      <c r="R14" s="4">
        <f t="shared" si="0"/>
        <v>0.22283046854550204</v>
      </c>
      <c r="S14" s="24"/>
    </row>
    <row r="15" spans="2:35">
      <c r="B15" s="49">
        <v>2012</v>
      </c>
      <c r="C15" s="71">
        <v>-0.21710863709449768</v>
      </c>
      <c r="D15" s="48">
        <v>31.494705999999997</v>
      </c>
      <c r="E15" s="48">
        <v>57.449947309999999</v>
      </c>
      <c r="F15" s="48">
        <v>2.3454699949929658E-3</v>
      </c>
      <c r="G15" s="50">
        <v>14883.092151619478</v>
      </c>
      <c r="H15" s="48">
        <v>63318</v>
      </c>
      <c r="I15" s="48">
        <v>1.1221504897118724</v>
      </c>
      <c r="J15" s="48"/>
      <c r="K15" s="48"/>
      <c r="L15" s="48">
        <v>144.60963319999999</v>
      </c>
      <c r="M15" s="48">
        <v>16</v>
      </c>
      <c r="N15" s="48">
        <v>382.08699999999999</v>
      </c>
      <c r="O15" s="50">
        <v>1842.4061250161719</v>
      </c>
      <c r="P15" s="50">
        <v>650554</v>
      </c>
      <c r="R15" s="4">
        <f t="shared" si="0"/>
        <v>-5.490483931795509E-2</v>
      </c>
      <c r="S15" s="24"/>
    </row>
    <row r="16" spans="2:35">
      <c r="B16" s="49">
        <v>2013</v>
      </c>
      <c r="C16" s="71">
        <v>-0.17367342114448547</v>
      </c>
      <c r="D16" s="48">
        <v>37.750104</v>
      </c>
      <c r="E16" s="48">
        <v>65.239999999999995</v>
      </c>
      <c r="F16" s="48">
        <v>-0.65368008492257057</v>
      </c>
      <c r="G16" s="50">
        <v>16248.108077646264</v>
      </c>
      <c r="H16" s="48">
        <v>60682</v>
      </c>
      <c r="I16" s="48">
        <v>1.0485722995630526</v>
      </c>
      <c r="J16" s="48"/>
      <c r="K16" s="48"/>
      <c r="L16" s="48">
        <v>152.41271570000001</v>
      </c>
      <c r="M16" s="48">
        <v>15</v>
      </c>
      <c r="N16" s="48">
        <v>393.262</v>
      </c>
      <c r="O16" s="50">
        <v>1889.2380361806918</v>
      </c>
      <c r="P16" s="50">
        <v>678837.99999999988</v>
      </c>
      <c r="R16" s="4">
        <f t="shared" si="0"/>
        <v>-0.20006212802628764</v>
      </c>
      <c r="S16" s="24"/>
    </row>
    <row r="17" spans="2:19">
      <c r="B17" s="49">
        <v>2014</v>
      </c>
      <c r="C17" s="71">
        <v>1.6454886645078659E-2</v>
      </c>
      <c r="D17" s="48">
        <v>34.813935999999998</v>
      </c>
      <c r="E17" s="48">
        <v>68.06</v>
      </c>
      <c r="F17" s="48">
        <v>-4.5728844246303915</v>
      </c>
      <c r="G17" s="50">
        <v>15968.738480506807</v>
      </c>
      <c r="H17" s="48">
        <v>60572</v>
      </c>
      <c r="I17" s="48">
        <v>1.1253792896929862</v>
      </c>
      <c r="J17" s="48"/>
      <c r="K17" s="48"/>
      <c r="L17" s="48">
        <v>172.82188719999999</v>
      </c>
      <c r="M17" s="48">
        <v>15</v>
      </c>
      <c r="N17" s="48">
        <v>407.536</v>
      </c>
      <c r="O17" s="50">
        <v>1946.1524800317547</v>
      </c>
      <c r="P17" s="50">
        <v>690188</v>
      </c>
      <c r="R17" s="4">
        <f t="shared" si="0"/>
        <v>-1.0947461421364482</v>
      </c>
      <c r="S17" s="24"/>
    </row>
    <row r="18" spans="2:19">
      <c r="B18" s="49">
        <v>2015</v>
      </c>
      <c r="C18" s="71">
        <v>1.6289704944938421E-3</v>
      </c>
      <c r="D18" s="48">
        <v>41.209648000000001</v>
      </c>
      <c r="E18" s="48">
        <v>70.380203080000001</v>
      </c>
      <c r="F18" s="48">
        <v>2.1876403376209943</v>
      </c>
      <c r="G18" s="50">
        <v>17045.166932886208</v>
      </c>
      <c r="H18" s="48">
        <v>63543</v>
      </c>
      <c r="I18" s="48">
        <v>1.1369844387910275</v>
      </c>
      <c r="J18" s="48"/>
      <c r="K18" s="48"/>
      <c r="L18" s="48">
        <v>173.85785100000001</v>
      </c>
      <c r="M18" s="48">
        <v>15</v>
      </c>
      <c r="N18" s="48">
        <v>423.24900000000002</v>
      </c>
      <c r="O18" s="50">
        <v>2010.9070543456164</v>
      </c>
      <c r="P18" s="50">
        <v>705991</v>
      </c>
      <c r="R18" s="4">
        <f t="shared" si="0"/>
        <v>-0.90100384587085347</v>
      </c>
      <c r="S18" s="24"/>
    </row>
    <row r="19" spans="2:19">
      <c r="B19" s="49">
        <v>2016</v>
      </c>
      <c r="C19" s="71">
        <v>2.1209586411714554E-3</v>
      </c>
      <c r="D19" s="48">
        <v>45.649932999999997</v>
      </c>
      <c r="E19" s="48">
        <v>72.15681447</v>
      </c>
      <c r="F19" s="48">
        <v>0.14431020427953434</v>
      </c>
      <c r="G19" s="50">
        <v>18251.658612128987</v>
      </c>
      <c r="H19" s="48">
        <v>63543</v>
      </c>
      <c r="I19" s="48">
        <v>1.1618557654317874</v>
      </c>
      <c r="J19" s="48"/>
      <c r="K19" s="48"/>
      <c r="L19" s="48">
        <v>187.14675510000001</v>
      </c>
      <c r="M19" s="48">
        <v>15</v>
      </c>
      <c r="N19" s="48">
        <v>435.30500000000001</v>
      </c>
      <c r="O19" s="50">
        <v>2089.8071501539716</v>
      </c>
      <c r="P19" s="50">
        <v>723549.99999999988</v>
      </c>
      <c r="R19" s="4">
        <f t="shared" si="0"/>
        <v>0.30202397670222081</v>
      </c>
      <c r="S19" s="24"/>
    </row>
    <row r="20" spans="2:19">
      <c r="B20" s="49">
        <v>2017</v>
      </c>
      <c r="C20" s="71">
        <v>1.9064558669924736E-2</v>
      </c>
      <c r="D20" s="48">
        <v>39.798019000000004</v>
      </c>
      <c r="E20" s="48">
        <v>74.51682418</v>
      </c>
      <c r="F20" s="48">
        <v>0.39411637861995596</v>
      </c>
      <c r="G20" s="50">
        <v>19587.009960505275</v>
      </c>
      <c r="H20" s="48">
        <v>61488</v>
      </c>
      <c r="I20" s="48">
        <v>1.2413744568083791</v>
      </c>
      <c r="J20" s="48"/>
      <c r="K20" s="48"/>
      <c r="L20" s="48">
        <v>205.38110270000001</v>
      </c>
      <c r="M20" s="48">
        <v>15</v>
      </c>
      <c r="N20" s="48">
        <v>440.01400000000001</v>
      </c>
      <c r="O20" s="50">
        <v>2160.9953743992796</v>
      </c>
      <c r="P20" s="50">
        <v>740648</v>
      </c>
      <c r="R20" s="4">
        <f t="shared" si="0"/>
        <v>7.9886517821936085</v>
      </c>
      <c r="S20" s="24"/>
    </row>
    <row r="21" spans="2:19">
      <c r="B21" s="49">
        <v>2018</v>
      </c>
      <c r="C21" s="71">
        <v>8.6029782891273499E-2</v>
      </c>
      <c r="D21" s="48">
        <v>37.537656999999996</v>
      </c>
      <c r="E21" s="48">
        <v>79.167755189999994</v>
      </c>
      <c r="F21" s="48">
        <v>8.2342343790718919E-2</v>
      </c>
      <c r="G21" s="50">
        <v>20795.794463501192</v>
      </c>
      <c r="H21" s="48">
        <v>60110</v>
      </c>
      <c r="I21" s="48">
        <v>1.3321520764800765</v>
      </c>
      <c r="J21" s="48"/>
      <c r="K21" s="48"/>
      <c r="L21" s="48">
        <v>228.58964990000001</v>
      </c>
      <c r="M21" s="48">
        <v>15</v>
      </c>
      <c r="N21" s="48">
        <v>452.68799999999999</v>
      </c>
      <c r="O21" s="50">
        <v>2230.462284148477</v>
      </c>
      <c r="P21" s="50">
        <v>759054</v>
      </c>
      <c r="R21" s="4">
        <f t="shared" si="0"/>
        <v>3.5125504545242707</v>
      </c>
      <c r="S21" s="24"/>
    </row>
    <row r="22" spans="2:19">
      <c r="B22" s="49">
        <v>2019</v>
      </c>
      <c r="C22" s="71">
        <v>-9.7226731479167938E-2</v>
      </c>
      <c r="D22" s="48">
        <v>39.782633000000004</v>
      </c>
      <c r="E22" s="48">
        <v>81.412882760000002</v>
      </c>
      <c r="F22" s="48">
        <v>-0.1041733807733497</v>
      </c>
      <c r="G22" s="50">
        <v>24005.727065130275</v>
      </c>
      <c r="H22" s="48">
        <v>60110</v>
      </c>
      <c r="I22" s="48">
        <v>1.3857623184053889</v>
      </c>
      <c r="J22" s="48"/>
      <c r="K22" s="48"/>
      <c r="L22" s="48">
        <v>242.6273061</v>
      </c>
      <c r="M22" s="48">
        <v>15</v>
      </c>
      <c r="N22" s="48">
        <v>470.38900000000001</v>
      </c>
      <c r="O22" s="50">
        <v>2309.7141032611676</v>
      </c>
      <c r="P22" s="50">
        <v>797651</v>
      </c>
      <c r="R22" s="4">
        <f t="shared" si="0"/>
        <v>-2.1301520033131478</v>
      </c>
      <c r="S22" s="24"/>
    </row>
    <row r="23" spans="2:19">
      <c r="B23" s="49">
        <v>2020</v>
      </c>
      <c r="C23" s="71">
        <v>6.3724368810653687E-2</v>
      </c>
      <c r="D23" s="48">
        <v>40.458938000000003</v>
      </c>
      <c r="E23" s="48">
        <v>81.405538109999995</v>
      </c>
      <c r="F23" s="48">
        <v>8.0952479946956979E-2</v>
      </c>
      <c r="G23" s="50">
        <v>23654.961273289806</v>
      </c>
      <c r="H23" s="48">
        <v>60110</v>
      </c>
      <c r="I23" s="48">
        <v>1.2824124432225676</v>
      </c>
      <c r="J23" s="48"/>
      <c r="K23" s="48"/>
      <c r="L23" s="48">
        <v>218.68013999999999</v>
      </c>
      <c r="M23" s="48">
        <v>15</v>
      </c>
      <c r="N23" s="48">
        <v>448.33699999999999</v>
      </c>
      <c r="O23" s="50">
        <v>2362.9313230040002</v>
      </c>
      <c r="P23" s="50">
        <v>794909</v>
      </c>
      <c r="R23" s="4">
        <f t="shared" si="0"/>
        <v>-1.6554202516239831</v>
      </c>
      <c r="S23" s="24"/>
    </row>
    <row r="24" spans="2:19" hidden="1">
      <c r="B24" s="25">
        <v>2021</v>
      </c>
      <c r="C24" s="26">
        <v>50</v>
      </c>
      <c r="D24">
        <v>45231.146999999997</v>
      </c>
      <c r="E24" s="27"/>
      <c r="F24" s="27">
        <v>31378448225.103638</v>
      </c>
      <c r="G24" s="27">
        <v>7.2540998500000002</v>
      </c>
      <c r="H24" s="27"/>
      <c r="I24" s="27">
        <v>1.4846893591740304</v>
      </c>
      <c r="J24" s="28"/>
      <c r="K24" s="29"/>
      <c r="L24" s="30"/>
      <c r="M24" s="30"/>
      <c r="N24" s="30"/>
    </row>
    <row r="26" spans="2:19">
      <c r="B26" s="31"/>
      <c r="C26" s="31"/>
      <c r="D26" s="31"/>
      <c r="F26" s="23"/>
    </row>
    <row r="27" spans="2:19">
      <c r="B27" s="33" t="s">
        <v>195</v>
      </c>
      <c r="C27" s="21"/>
      <c r="D27" s="21"/>
    </row>
    <row r="28" spans="2:19">
      <c r="B28" s="21"/>
      <c r="C28" s="22" t="s">
        <v>196</v>
      </c>
      <c r="D28" s="22" t="s">
        <v>197</v>
      </c>
    </row>
    <row r="29" spans="2:19">
      <c r="B29" s="21" t="s">
        <v>198</v>
      </c>
      <c r="C29" s="34">
        <f t="array" ref="C29:D33">LINEST(N3:N23,C3:C23,TRUE, TRUE)</f>
        <v>203.70955273561481</v>
      </c>
      <c r="D29" s="35">
        <v>411.28252732686479</v>
      </c>
    </row>
    <row r="30" spans="2:19">
      <c r="B30" s="21" t="s">
        <v>199</v>
      </c>
      <c r="C30" s="35">
        <v>32.269637760547717</v>
      </c>
      <c r="D30" s="35">
        <v>10.775128305016082</v>
      </c>
    </row>
    <row r="31" spans="2:19">
      <c r="B31" s="21" t="s">
        <v>200</v>
      </c>
      <c r="C31" s="35">
        <v>0.67714844798799045</v>
      </c>
      <c r="D31" s="35">
        <v>37.833427673150595</v>
      </c>
    </row>
    <row r="32" spans="2:19">
      <c r="B32" s="21" t="s">
        <v>201</v>
      </c>
      <c r="C32" s="36">
        <v>39.850576624433373</v>
      </c>
      <c r="D32" s="36">
        <v>19</v>
      </c>
    </row>
    <row r="33" spans="2:4">
      <c r="B33" s="21" t="s">
        <v>202</v>
      </c>
      <c r="C33" s="36">
        <v>57040.850104461577</v>
      </c>
      <c r="D33" s="36">
        <v>27195.996740490831</v>
      </c>
    </row>
    <row r="34" spans="2:4">
      <c r="B34" s="21"/>
      <c r="C34" s="21"/>
      <c r="D34" s="21"/>
    </row>
    <row r="35" spans="2:4">
      <c r="B35" s="21" t="s">
        <v>203</v>
      </c>
      <c r="C35" s="34">
        <f>C29/C30</f>
        <v>6.312731312548741</v>
      </c>
      <c r="D35" s="34">
        <f>D29/D30</f>
        <v>38.169617630947641</v>
      </c>
    </row>
    <row r="36" spans="2:4">
      <c r="B36" s="21"/>
      <c r="C36" s="21"/>
      <c r="D36" s="21"/>
    </row>
    <row r="37" spans="2:4">
      <c r="B37" s="37" t="s">
        <v>257</v>
      </c>
      <c r="C37" s="37"/>
      <c r="D37" s="37"/>
    </row>
    <row r="40" spans="2:4">
      <c r="B40" s="31"/>
      <c r="C40" s="31"/>
      <c r="D40" s="31"/>
    </row>
    <row r="41" spans="2:4">
      <c r="B41" s="33" t="s">
        <v>204</v>
      </c>
      <c r="C41" s="21"/>
      <c r="D41" s="21"/>
    </row>
    <row r="42" spans="2:4">
      <c r="B42" s="21"/>
      <c r="C42" s="38" t="s">
        <v>205</v>
      </c>
      <c r="D42" s="38" t="s">
        <v>197</v>
      </c>
    </row>
    <row r="43" spans="2:4">
      <c r="B43" s="21" t="s">
        <v>198</v>
      </c>
      <c r="C43" s="34">
        <f t="array" ref="C43:D47">LINEST(N3:N23,D3:D23, TRUE, TRUE)</f>
        <v>6.2837906390439109</v>
      </c>
      <c r="D43" s="35">
        <v>186.81836453835001</v>
      </c>
    </row>
    <row r="44" spans="2:4">
      <c r="B44" s="21" t="s">
        <v>199</v>
      </c>
      <c r="C44" s="35">
        <v>0.57304574345891079</v>
      </c>
      <c r="D44" s="35">
        <v>17.335558800315948</v>
      </c>
    </row>
    <row r="45" spans="2:4">
      <c r="B45" s="21" t="s">
        <v>200</v>
      </c>
      <c r="C45" s="35">
        <v>0.86354926269511079</v>
      </c>
      <c r="D45" s="35">
        <v>24.595870278343359</v>
      </c>
    </row>
    <row r="46" spans="2:4">
      <c r="B46" s="21" t="s">
        <v>201</v>
      </c>
      <c r="C46" s="35">
        <v>120.24439233733037</v>
      </c>
      <c r="D46" s="35">
        <v>19</v>
      </c>
    </row>
    <row r="47" spans="2:4">
      <c r="B47" s="21" t="s">
        <v>202</v>
      </c>
      <c r="C47" s="35">
        <v>72742.666984719617</v>
      </c>
      <c r="D47" s="35">
        <v>11494.179860232791</v>
      </c>
    </row>
    <row r="48" spans="2:4">
      <c r="B48" s="21"/>
      <c r="C48" s="35"/>
      <c r="D48" s="35"/>
    </row>
    <row r="49" spans="2:4">
      <c r="B49" s="39" t="s">
        <v>206</v>
      </c>
      <c r="C49" s="34">
        <f>C43/C44</f>
        <v>10.965600409340583</v>
      </c>
      <c r="D49" s="34">
        <f>D43/D44</f>
        <v>10.776598936917175</v>
      </c>
    </row>
    <row r="50" spans="2:4">
      <c r="B50" s="21"/>
      <c r="C50" s="21"/>
      <c r="D50" s="21"/>
    </row>
    <row r="51" spans="2:4">
      <c r="B51" s="37" t="s">
        <v>216</v>
      </c>
      <c r="C51" s="37"/>
      <c r="D51" s="37"/>
    </row>
    <row r="54" spans="2:4">
      <c r="B54" s="31"/>
      <c r="C54" s="31"/>
      <c r="D54" s="31"/>
    </row>
    <row r="55" spans="2:4">
      <c r="B55" s="33" t="s">
        <v>207</v>
      </c>
      <c r="C55" s="38" t="s">
        <v>208</v>
      </c>
      <c r="D55" s="38" t="s">
        <v>197</v>
      </c>
    </row>
    <row r="56" spans="2:4">
      <c r="B56" s="21" t="s">
        <v>198</v>
      </c>
      <c r="C56" s="40">
        <f t="array" ref="C56:D60">LINEST(N3:N23,E3:E23,TRUE,TRUE)</f>
        <v>2.4779253892022699</v>
      </c>
      <c r="D56" s="40">
        <v>247.88130448469389</v>
      </c>
    </row>
    <row r="57" spans="2:4">
      <c r="B57" s="21" t="s">
        <v>199</v>
      </c>
      <c r="C57" s="40">
        <v>0.10678819389087346</v>
      </c>
      <c r="D57" s="40">
        <v>5.8140324434435557</v>
      </c>
    </row>
    <row r="58" spans="2:4">
      <c r="B58" s="21" t="s">
        <v>200</v>
      </c>
      <c r="C58" s="40">
        <v>0.96591505726298066</v>
      </c>
      <c r="D58" s="40">
        <v>12.292933573607208</v>
      </c>
    </row>
    <row r="59" spans="2:4">
      <c r="B59" s="21" t="s">
        <v>201</v>
      </c>
      <c r="C59" s="40">
        <v>538.43089101230339</v>
      </c>
      <c r="D59" s="40">
        <v>19</v>
      </c>
    </row>
    <row r="60" spans="2:4">
      <c r="B60" s="21" t="s">
        <v>202</v>
      </c>
      <c r="C60" s="40">
        <v>81365.638743895135</v>
      </c>
      <c r="D60" s="40">
        <v>2871.2081010572665</v>
      </c>
    </row>
    <row r="61" spans="2:4">
      <c r="B61" s="21"/>
      <c r="C61" s="40"/>
      <c r="D61" s="40"/>
    </row>
    <row r="62" spans="2:4">
      <c r="B62" s="39" t="s">
        <v>206</v>
      </c>
      <c r="C62" s="41">
        <f>C56/C57</f>
        <v>23.20411366573401</v>
      </c>
      <c r="D62" s="41">
        <f>D56/D57</f>
        <v>42.63500537638518</v>
      </c>
    </row>
    <row r="63" spans="2:4">
      <c r="B63" s="21"/>
      <c r="C63" s="21"/>
      <c r="D63" s="21"/>
    </row>
    <row r="64" spans="2:4">
      <c r="B64" s="21"/>
      <c r="C64" s="21"/>
      <c r="D64" s="21"/>
    </row>
    <row r="65" spans="2:4">
      <c r="B65" s="37" t="s">
        <v>213</v>
      </c>
      <c r="C65" s="37"/>
      <c r="D65" s="37"/>
    </row>
    <row r="68" spans="2:4">
      <c r="B68" s="31"/>
      <c r="C68" s="31"/>
      <c r="D68" s="31"/>
    </row>
    <row r="72" spans="2:4">
      <c r="B72" s="31"/>
      <c r="C72" s="31"/>
      <c r="D72" s="31"/>
    </row>
    <row r="73" spans="2:4">
      <c r="B73" s="33" t="s">
        <v>209</v>
      </c>
      <c r="C73" s="21" t="s">
        <v>210</v>
      </c>
      <c r="D73" s="21" t="s">
        <v>211</v>
      </c>
    </row>
    <row r="74" spans="2:4">
      <c r="B74" s="21" t="s">
        <v>198</v>
      </c>
      <c r="C74" s="40">
        <f t="array" ref="C74:D78">LINEST(N3:N23,M3:M23,TRUE,TRUE)</f>
        <v>-2.8428752324877569</v>
      </c>
      <c r="D74" s="40">
        <v>458.27387646508566</v>
      </c>
    </row>
    <row r="75" spans="2:4">
      <c r="B75" s="21" t="s">
        <v>199</v>
      </c>
      <c r="C75" s="40">
        <v>0.29488064047090096</v>
      </c>
      <c r="D75" s="40">
        <v>11.151011915430638</v>
      </c>
    </row>
    <row r="76" spans="2:4">
      <c r="B76" s="21" t="s">
        <v>200</v>
      </c>
      <c r="C76" s="40">
        <v>0.83027283656314954</v>
      </c>
      <c r="D76" s="40">
        <v>27.431523425909461</v>
      </c>
    </row>
    <row r="77" spans="2:4">
      <c r="B77" s="21" t="s">
        <v>201</v>
      </c>
      <c r="C77" s="40">
        <v>92.944367744466817</v>
      </c>
      <c r="D77" s="40">
        <v>19</v>
      </c>
    </row>
    <row r="78" spans="2:4">
      <c r="B78" s="21" t="s">
        <v>202</v>
      </c>
      <c r="C78" s="40">
        <v>69939.565773094233</v>
      </c>
      <c r="D78" s="40">
        <v>14297.28107185817</v>
      </c>
    </row>
    <row r="79" spans="2:4">
      <c r="B79" s="21"/>
      <c r="C79" s="21"/>
      <c r="D79" s="21"/>
    </row>
    <row r="80" spans="2:4">
      <c r="B80" s="39" t="s">
        <v>206</v>
      </c>
      <c r="C80" s="34">
        <f>C74/C75</f>
        <v>-9.6407659314219849</v>
      </c>
      <c r="D80" s="34">
        <f>D74/D75</f>
        <v>41.097066341659243</v>
      </c>
    </row>
    <row r="81" spans="2:5">
      <c r="B81" s="21"/>
      <c r="C81" s="21"/>
      <c r="D81" s="21"/>
    </row>
    <row r="82" spans="2:5">
      <c r="B82" s="37" t="s">
        <v>272</v>
      </c>
      <c r="C82" s="37"/>
      <c r="D82" s="37"/>
      <c r="E82" s="10"/>
    </row>
    <row r="85" spans="2:5" customFormat="1"/>
    <row r="86" spans="2:5" customFormat="1">
      <c r="B86" s="42"/>
    </row>
    <row r="87" spans="2:5" customFormat="1">
      <c r="C87" s="43"/>
      <c r="D87" s="43"/>
    </row>
    <row r="88" spans="2:5" customFormat="1">
      <c r="C88" s="11"/>
      <c r="D88" s="11"/>
    </row>
    <row r="89" spans="2:5" customFormat="1">
      <c r="C89" s="11"/>
      <c r="D89" s="11"/>
    </row>
    <row r="90" spans="2:5" customFormat="1">
      <c r="C90" s="11"/>
      <c r="D90" s="11"/>
    </row>
    <row r="91" spans="2:5" customFormat="1">
      <c r="C91" s="1"/>
      <c r="D91" s="1"/>
    </row>
    <row r="92" spans="2:5" customFormat="1">
      <c r="C92" s="1"/>
      <c r="D92" s="1"/>
    </row>
    <row r="93" spans="2:5" customFormat="1"/>
    <row r="94" spans="2:5" customFormat="1">
      <c r="C94" s="11"/>
      <c r="D94" s="11"/>
    </row>
    <row r="95" spans="2:5" customFormat="1"/>
    <row r="96" spans="2:5" customFormat="1"/>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Z115"/>
  <sheetViews>
    <sheetView zoomScale="79" zoomScaleNormal="79" workbookViewId="0">
      <pane xSplit="1" ySplit="1" topLeftCell="P2" activePane="bottomRight" state="frozen"/>
      <selection pane="topRight" activeCell="B1" sqref="B1"/>
      <selection pane="bottomLeft" activeCell="A2" sqref="A2"/>
      <selection pane="bottomRight" activeCell="F106" sqref="F106"/>
    </sheetView>
  </sheetViews>
  <sheetFormatPr defaultColWidth="8.88671875" defaultRowHeight="14.4"/>
  <cols>
    <col min="1" max="1" width="8.88671875" style="6"/>
    <col min="2" max="2" width="12.44140625" style="6" bestFit="1" customWidth="1"/>
    <col min="3" max="7" width="12.33203125" style="6" customWidth="1"/>
    <col min="8" max="8" width="22.21875" style="6" bestFit="1" customWidth="1"/>
    <col min="9" max="9" width="18.6640625" style="6" bestFit="1" customWidth="1"/>
    <col min="10" max="11" width="11" style="6" customWidth="1"/>
    <col min="12" max="12" width="11.44140625" style="156" bestFit="1" customWidth="1"/>
    <col min="13" max="13" width="12.109375" style="6" bestFit="1" customWidth="1"/>
    <col min="14" max="14" width="9.5546875" style="6" bestFit="1" customWidth="1"/>
    <col min="15" max="15" width="12.6640625" style="6" bestFit="1" customWidth="1"/>
    <col min="16" max="17" width="12.5546875" style="6" customWidth="1"/>
    <col min="18" max="18" width="24.44140625" style="6" customWidth="1"/>
    <col min="19" max="19" width="12.5546875" style="6" customWidth="1"/>
    <col min="20" max="20" width="14.6640625" style="6" bestFit="1" customWidth="1"/>
    <col min="21" max="21" width="18.21875" style="6" bestFit="1" customWidth="1"/>
    <col min="22" max="22" width="10.44140625" style="6" bestFit="1" customWidth="1"/>
    <col min="23" max="23" width="3.109375" style="6" customWidth="1"/>
    <col min="24" max="24" width="22.109375" style="6" bestFit="1" customWidth="1"/>
    <col min="25" max="25" width="12.33203125" style="6" bestFit="1" customWidth="1"/>
    <col min="26" max="26" width="11.6640625" style="6" customWidth="1"/>
    <col min="27" max="16384" width="8.88671875" style="6"/>
  </cols>
  <sheetData>
    <row r="1" spans="1:26" ht="28.8">
      <c r="A1" s="7" t="s">
        <v>5</v>
      </c>
      <c r="B1" s="7" t="s">
        <v>270</v>
      </c>
      <c r="C1" s="7" t="s">
        <v>158</v>
      </c>
      <c r="D1" s="7" t="s">
        <v>271</v>
      </c>
      <c r="E1" s="7" t="s">
        <v>158</v>
      </c>
      <c r="F1" s="7" t="s">
        <v>159</v>
      </c>
      <c r="G1" s="7" t="s">
        <v>160</v>
      </c>
      <c r="H1" s="7" t="s">
        <v>9</v>
      </c>
      <c r="I1" s="88" t="s">
        <v>54</v>
      </c>
      <c r="J1" s="163" t="s">
        <v>55</v>
      </c>
      <c r="K1" s="163" t="s">
        <v>161</v>
      </c>
      <c r="L1" s="89" t="s">
        <v>56</v>
      </c>
      <c r="M1" s="163" t="s">
        <v>57</v>
      </c>
      <c r="N1" s="163" t="s">
        <v>58</v>
      </c>
      <c r="O1" s="163" t="s">
        <v>59</v>
      </c>
      <c r="P1" s="89" t="s">
        <v>65</v>
      </c>
      <c r="Q1" s="89" t="s">
        <v>60</v>
      </c>
      <c r="R1" s="89" t="s">
        <v>61</v>
      </c>
      <c r="S1" s="89" t="s">
        <v>62</v>
      </c>
      <c r="T1" s="89" t="s">
        <v>63</v>
      </c>
      <c r="U1" s="89" t="s">
        <v>64</v>
      </c>
    </row>
    <row r="2" spans="1:26">
      <c r="A2" s="7" t="s">
        <v>150</v>
      </c>
      <c r="B2" s="164">
        <v>69617</v>
      </c>
      <c r="C2" s="120"/>
      <c r="D2" s="119">
        <v>15017</v>
      </c>
      <c r="E2" s="119"/>
      <c r="F2" s="7">
        <v>69056.156000000003</v>
      </c>
      <c r="G2" s="7">
        <v>13986.598</v>
      </c>
      <c r="H2" s="165">
        <v>3.7905246019363403E-2</v>
      </c>
      <c r="I2" s="102">
        <f>'Assumptions for PF'!$B$3*'Production Function'!B2</f>
        <v>409624.51788493275</v>
      </c>
      <c r="J2" s="166">
        <v>0.56134099999999998</v>
      </c>
      <c r="K2" s="167">
        <f>J2/1000</f>
        <v>5.6134100000000003E-4</v>
      </c>
      <c r="L2" s="168">
        <v>0.6</v>
      </c>
      <c r="M2" s="104">
        <f t="shared" ref="M2:M33" si="0">LN(F2)-L2*LN(J2)-(1-L2)*LN(I2)</f>
        <v>6.3199328530283907</v>
      </c>
      <c r="N2" s="104">
        <f>EXP(M2)</f>
        <v>555.53568865988416</v>
      </c>
      <c r="O2" s="105">
        <f t="array" ref="O2:O105">[1]!HP(N2:N105,1600)</f>
        <v>543.07880281846394</v>
      </c>
      <c r="P2" s="105">
        <f t="array" ref="P2:P105">[1]!HP(J2:J105,1600)</f>
        <v>0.561946476694278</v>
      </c>
      <c r="Q2" s="104">
        <f>LN(O2)+LN(P2)*L2+LN(I2)*(1-L2)</f>
        <v>11.120643715420073</v>
      </c>
      <c r="R2" s="106">
        <f>EXP(Q2)</f>
        <v>67551.376144760608</v>
      </c>
      <c r="S2" s="107">
        <f t="array" ref="S2:S105">[1]!HP(F2:F105,1600)</f>
        <v>67098.306226596877</v>
      </c>
      <c r="T2" s="104">
        <f t="shared" ref="T2:T33" si="1">(F2/R2-1)*100</f>
        <v>2.2276079942689764</v>
      </c>
      <c r="U2" s="104">
        <f t="shared" ref="U2:U33" si="2">(F2/S2-1)*100</f>
        <v>2.9178825569624589</v>
      </c>
      <c r="W2" s="159"/>
    </row>
    <row r="3" spans="1:26">
      <c r="A3" s="7" t="s">
        <v>151</v>
      </c>
      <c r="B3" s="164">
        <v>70967</v>
      </c>
      <c r="C3" s="120"/>
      <c r="D3" s="119">
        <v>14415</v>
      </c>
      <c r="E3" s="119"/>
      <c r="F3" s="44">
        <v>69471.797000000006</v>
      </c>
      <c r="G3" s="7">
        <v>13480.117</v>
      </c>
      <c r="H3" s="165">
        <v>3.7905246019363403E-2</v>
      </c>
      <c r="I3" s="101">
        <f>I2*(1-H3)+G3</f>
        <v>407577.7167589413</v>
      </c>
      <c r="J3" s="166">
        <v>0.56134099999999998</v>
      </c>
      <c r="K3" s="167">
        <f t="shared" ref="K3:K66" si="3">J3/1000</f>
        <v>5.6134100000000003E-4</v>
      </c>
      <c r="L3" s="168">
        <v>0.6</v>
      </c>
      <c r="M3" s="104">
        <f t="shared" si="0"/>
        <v>6.3279374158428388</v>
      </c>
      <c r="N3" s="104">
        <f t="shared" ref="N3:N66" si="4">EXP(M3)</f>
        <v>560.00035398375246</v>
      </c>
      <c r="O3" s="105">
        <v>545.9708841744764</v>
      </c>
      <c r="P3" s="105">
        <v>0.56063999567964451</v>
      </c>
      <c r="Q3" s="104">
        <f t="shared" ref="Q2:Q33" si="5">LN(O3)+LN(P3)*L3+LN(I3)*(1-L3)</f>
        <v>11.122554633387875</v>
      </c>
      <c r="R3" s="106">
        <f t="shared" ref="R2:R33" si="6">EXP(Q3)</f>
        <v>67680.58469733948</v>
      </c>
      <c r="S3" s="107">
        <v>67279.920686566795</v>
      </c>
      <c r="T3" s="104">
        <f t="shared" si="1"/>
        <v>2.64656741762892</v>
      </c>
      <c r="U3" s="104">
        <f t="shared" si="2"/>
        <v>3.2578461613300469</v>
      </c>
      <c r="V3" s="160"/>
      <c r="Y3" s="160"/>
    </row>
    <row r="4" spans="1:26">
      <c r="A4" s="7" t="s">
        <v>152</v>
      </c>
      <c r="B4" s="164">
        <v>70743</v>
      </c>
      <c r="C4" s="122"/>
      <c r="D4" s="119">
        <v>13210</v>
      </c>
      <c r="E4" s="119"/>
      <c r="F4" s="7">
        <v>71332.72</v>
      </c>
      <c r="G4" s="7">
        <v>17570.401000000002</v>
      </c>
      <c r="H4" s="165">
        <v>3.7905246019363403E-2</v>
      </c>
      <c r="I4" s="101">
        <f t="shared" ref="I4:I67" si="7">I3*(1-H4)+G4</f>
        <v>409698.78413318325</v>
      </c>
      <c r="J4" s="166">
        <v>0.56134099999999998</v>
      </c>
      <c r="K4" s="167">
        <f t="shared" si="3"/>
        <v>5.6134100000000003E-4</v>
      </c>
      <c r="L4" s="168">
        <v>0.6</v>
      </c>
      <c r="M4" s="104">
        <f t="shared" si="0"/>
        <v>6.3522954378263732</v>
      </c>
      <c r="N4" s="104">
        <f t="shared" si="4"/>
        <v>573.80833982995921</v>
      </c>
      <c r="O4" s="105">
        <v>548.87075108413978</v>
      </c>
      <c r="P4" s="105">
        <v>0.55933313624207714</v>
      </c>
      <c r="Q4" s="104">
        <f t="shared" si="5"/>
        <v>11.128527966253525</v>
      </c>
      <c r="R4" s="106">
        <f t="shared" si="6"/>
        <v>68086.073211537165</v>
      </c>
      <c r="S4" s="107">
        <v>67462.758802645083</v>
      </c>
      <c r="T4" s="104">
        <f t="shared" si="1"/>
        <v>4.7684447572351685</v>
      </c>
      <c r="U4" s="104">
        <f t="shared" si="2"/>
        <v>5.7364407653058835</v>
      </c>
      <c r="V4" s="160"/>
      <c r="Y4" s="160"/>
    </row>
    <row r="5" spans="1:26">
      <c r="A5" s="7" t="s">
        <v>153</v>
      </c>
      <c r="B5" s="164">
        <v>68467</v>
      </c>
      <c r="C5" s="122"/>
      <c r="D5" s="119">
        <v>11403</v>
      </c>
      <c r="E5" s="121"/>
      <c r="F5" s="7">
        <v>70369.73</v>
      </c>
      <c r="G5" s="7">
        <v>8971.5385999999999</v>
      </c>
      <c r="H5" s="165">
        <v>3.7905246019363403E-2</v>
      </c>
      <c r="I5" s="101">
        <f t="shared" si="7"/>
        <v>403140.58952678088</v>
      </c>
      <c r="J5" s="166">
        <v>0.56134099999999998</v>
      </c>
      <c r="K5" s="167">
        <f t="shared" si="3"/>
        <v>5.6134100000000003E-4</v>
      </c>
      <c r="L5" s="168">
        <v>0.6</v>
      </c>
      <c r="M5" s="104">
        <f t="shared" si="0"/>
        <v>6.3451582520898206</v>
      </c>
      <c r="N5" s="104">
        <f t="shared" si="4"/>
        <v>569.72754315608722</v>
      </c>
      <c r="O5" s="105">
        <v>551.7949575197357</v>
      </c>
      <c r="P5" s="105">
        <v>0.55802595808634214</v>
      </c>
      <c r="Q5" s="104">
        <f t="shared" si="5"/>
        <v>11.125982899805066</v>
      </c>
      <c r="R5" s="106">
        <f t="shared" si="6"/>
        <v>67913.009953161469</v>
      </c>
      <c r="S5" s="107">
        <v>67649.414153636011</v>
      </c>
      <c r="T5" s="104">
        <f t="shared" si="1"/>
        <v>3.6174512785295265</v>
      </c>
      <c r="U5" s="104">
        <f t="shared" si="2"/>
        <v>4.0211964588281246</v>
      </c>
      <c r="V5" s="160"/>
      <c r="X5" s="157"/>
      <c r="Y5" s="155"/>
      <c r="Z5" s="158"/>
    </row>
    <row r="6" spans="1:26">
      <c r="A6" s="7" t="s">
        <v>154</v>
      </c>
      <c r="B6" s="164">
        <v>73289</v>
      </c>
      <c r="C6" s="122">
        <f t="shared" ref="C6:C53" si="8">B6/B2-1</f>
        <v>5.2745737391729053E-2</v>
      </c>
      <c r="D6" s="119">
        <v>17987</v>
      </c>
      <c r="E6" s="122">
        <f>D6/D2-1</f>
        <v>0.19777585403209685</v>
      </c>
      <c r="F6" s="7">
        <v>72522.183999999994</v>
      </c>
      <c r="G6" s="7">
        <v>16992.221000000001</v>
      </c>
      <c r="H6" s="165">
        <v>3.7905246019363403E-2</v>
      </c>
      <c r="I6" s="101">
        <f t="shared" si="7"/>
        <v>404851.6673003771</v>
      </c>
      <c r="J6" s="166">
        <v>0.56134099999999998</v>
      </c>
      <c r="K6" s="167">
        <f t="shared" si="3"/>
        <v>5.6134100000000003E-4</v>
      </c>
      <c r="L6" s="168">
        <v>0.6</v>
      </c>
      <c r="M6" s="104">
        <f t="shared" si="0"/>
        <v>6.3735933990669746</v>
      </c>
      <c r="N6" s="104">
        <f t="shared" si="4"/>
        <v>586.16035709772916</v>
      </c>
      <c r="O6" s="105">
        <v>554.77564344651182</v>
      </c>
      <c r="P6" s="105">
        <v>0.55671977583205434</v>
      </c>
      <c r="Q6" s="104">
        <f t="shared" si="5"/>
        <v>11.131658239481137</v>
      </c>
      <c r="R6" s="106">
        <f t="shared" si="6"/>
        <v>68299.535146471972</v>
      </c>
      <c r="S6" s="107">
        <v>67844.899044092192</v>
      </c>
      <c r="T6" s="104">
        <f t="shared" si="1"/>
        <v>6.1825440604717619</v>
      </c>
      <c r="U6" s="104">
        <f t="shared" si="2"/>
        <v>6.8940849228297241</v>
      </c>
      <c r="V6" s="160"/>
      <c r="X6" s="157"/>
      <c r="Y6" s="155"/>
      <c r="Z6" s="158"/>
    </row>
    <row r="7" spans="1:26">
      <c r="A7" s="7" t="s">
        <v>155</v>
      </c>
      <c r="B7" s="164">
        <v>68059</v>
      </c>
      <c r="C7" s="122">
        <f t="shared" si="8"/>
        <v>-4.0976792030098519E-2</v>
      </c>
      <c r="D7" s="119">
        <v>13334</v>
      </c>
      <c r="E7" s="122">
        <f t="shared" ref="E7:E70" si="9">D7/D3-1</f>
        <v>-7.4991328477280628E-2</v>
      </c>
      <c r="F7" s="7">
        <v>65834.960999999996</v>
      </c>
      <c r="G7" s="7">
        <v>12355.531999999999</v>
      </c>
      <c r="H7" s="165">
        <v>3.7905246019363403E-2</v>
      </c>
      <c r="I7" s="101">
        <f t="shared" si="7"/>
        <v>401861.19725000684</v>
      </c>
      <c r="J7" s="166">
        <v>0.56134099999999998</v>
      </c>
      <c r="K7" s="167">
        <f t="shared" si="3"/>
        <v>5.6134100000000003E-4</v>
      </c>
      <c r="L7" s="168">
        <v>0.6</v>
      </c>
      <c r="M7" s="104">
        <f t="shared" si="0"/>
        <v>6.2798175163883965</v>
      </c>
      <c r="N7" s="104">
        <f t="shared" si="4"/>
        <v>533.69126502946563</v>
      </c>
      <c r="O7" s="105">
        <v>557.8561566957386</v>
      </c>
      <c r="P7" s="105">
        <v>0.55541797600002463</v>
      </c>
      <c r="Q7" s="104">
        <f t="shared" si="5"/>
        <v>11.132825353189766</v>
      </c>
      <c r="R7" s="106">
        <f t="shared" si="6"/>
        <v>68379.295005593114</v>
      </c>
      <c r="S7" s="107">
        <v>68055.925975970211</v>
      </c>
      <c r="T7" s="104">
        <f t="shared" si="1"/>
        <v>-3.7209128953216042</v>
      </c>
      <c r="U7" s="104">
        <f t="shared" si="2"/>
        <v>-3.263440977578369</v>
      </c>
      <c r="V7" s="160"/>
      <c r="X7" s="157"/>
      <c r="Y7" s="155"/>
      <c r="Z7" s="158"/>
    </row>
    <row r="8" spans="1:26">
      <c r="A8" s="7" t="s">
        <v>156</v>
      </c>
      <c r="B8" s="164">
        <v>61742</v>
      </c>
      <c r="C8" s="122">
        <f t="shared" si="8"/>
        <v>-0.12723520348303008</v>
      </c>
      <c r="D8" s="119">
        <v>2943</v>
      </c>
      <c r="E8" s="122">
        <f t="shared" si="9"/>
        <v>-0.77721423164269487</v>
      </c>
      <c r="F8" s="7">
        <v>64534.065999999999</v>
      </c>
      <c r="G8" s="7">
        <v>7481.4564</v>
      </c>
      <c r="H8" s="165">
        <v>3.7905246019363403E-2</v>
      </c>
      <c r="I8" s="101">
        <f t="shared" si="7"/>
        <v>394110.00610260945</v>
      </c>
      <c r="J8" s="166">
        <v>0.56134099999999998</v>
      </c>
      <c r="K8" s="167">
        <f t="shared" si="3"/>
        <v>5.6134100000000003E-4</v>
      </c>
      <c r="L8" s="168">
        <v>0.6</v>
      </c>
      <c r="M8" s="104">
        <f t="shared" si="0"/>
        <v>6.2676504063417608</v>
      </c>
      <c r="N8" s="104">
        <f t="shared" si="4"/>
        <v>527.23712839383984</v>
      </c>
      <c r="O8" s="105">
        <v>561.09946054471845</v>
      </c>
      <c r="P8" s="105">
        <v>0.55412683337616886</v>
      </c>
      <c r="Q8" s="104">
        <f t="shared" si="5"/>
        <v>11.129435315983063</v>
      </c>
      <c r="R8" s="106">
        <f t="shared" si="6"/>
        <v>68147.879127201042</v>
      </c>
      <c r="S8" s="107">
        <v>68292.130754324084</v>
      </c>
      <c r="T8" s="104">
        <f t="shared" si="1"/>
        <v>-5.3028988920633902</v>
      </c>
      <c r="U8" s="104">
        <f t="shared" si="2"/>
        <v>-5.5029250263744833</v>
      </c>
      <c r="V8" s="160"/>
      <c r="X8" s="157"/>
      <c r="Y8" s="155"/>
      <c r="Z8" s="158"/>
    </row>
    <row r="9" spans="1:26">
      <c r="A9" s="7" t="s">
        <v>157</v>
      </c>
      <c r="B9" s="164">
        <v>68122</v>
      </c>
      <c r="C9" s="122">
        <f t="shared" si="8"/>
        <v>-5.0389238611301401E-3</v>
      </c>
      <c r="D9" s="119">
        <v>16458</v>
      </c>
      <c r="E9" s="122">
        <f t="shared" si="9"/>
        <v>0.44330439358063667</v>
      </c>
      <c r="F9" s="7">
        <v>66583.490999999995</v>
      </c>
      <c r="G9" s="7">
        <v>13720.753000000001</v>
      </c>
      <c r="H9" s="165">
        <v>3.7905246019363403E-2</v>
      </c>
      <c r="I9" s="101">
        <f t="shared" si="7"/>
        <v>392891.92236259725</v>
      </c>
      <c r="J9" s="166">
        <v>0.56134099999999998</v>
      </c>
      <c r="K9" s="167">
        <f t="shared" si="3"/>
        <v>5.6134100000000003E-4</v>
      </c>
      <c r="L9" s="168">
        <v>0.6</v>
      </c>
      <c r="M9" s="104">
        <f t="shared" si="0"/>
        <v>6.3001520333802885</v>
      </c>
      <c r="N9" s="104">
        <f t="shared" si="4"/>
        <v>544.65470952821272</v>
      </c>
      <c r="O9" s="105">
        <v>564.55341521346236</v>
      </c>
      <c r="P9" s="105">
        <v>0.55285632463640288</v>
      </c>
      <c r="Q9" s="104">
        <f t="shared" si="5"/>
        <v>11.132956668379308</v>
      </c>
      <c r="R9" s="106">
        <f t="shared" si="6"/>
        <v>68388.27483525862</v>
      </c>
      <c r="S9" s="107">
        <v>68561.761081097851</v>
      </c>
      <c r="T9" s="104">
        <f t="shared" si="1"/>
        <v>-2.6390252416897408</v>
      </c>
      <c r="U9" s="104">
        <f t="shared" si="2"/>
        <v>-2.8853839952533766</v>
      </c>
      <c r="V9" s="160"/>
      <c r="X9" s="157"/>
      <c r="Y9" s="155"/>
      <c r="Z9" s="158"/>
    </row>
    <row r="10" spans="1:26">
      <c r="A10" s="7" t="s">
        <v>66</v>
      </c>
      <c r="B10" s="164">
        <v>65391</v>
      </c>
      <c r="C10" s="122">
        <f t="shared" si="8"/>
        <v>-0.10776514893094458</v>
      </c>
      <c r="D10" s="119">
        <v>16199</v>
      </c>
      <c r="E10" s="122">
        <f t="shared" si="9"/>
        <v>-9.9405125924278637E-2</v>
      </c>
      <c r="F10" s="7">
        <v>67013.910999999905</v>
      </c>
      <c r="G10" s="7">
        <v>15487.614</v>
      </c>
      <c r="H10" s="165">
        <v>3.7216849625110626E-2</v>
      </c>
      <c r="I10" s="101">
        <f>I9*(1-H10)+G10</f>
        <v>393757.33676910785</v>
      </c>
      <c r="J10" s="166">
        <v>0.56134099999999998</v>
      </c>
      <c r="K10" s="167">
        <f t="shared" si="3"/>
        <v>5.6134100000000003E-4</v>
      </c>
      <c r="L10" s="168">
        <v>0.6</v>
      </c>
      <c r="M10" s="104">
        <f t="shared" si="0"/>
        <v>6.305715491872582</v>
      </c>
      <c r="N10" s="104">
        <f t="shared" si="4"/>
        <v>547.69331814616692</v>
      </c>
      <c r="O10" s="105">
        <v>568.24471696438707</v>
      </c>
      <c r="P10" s="105">
        <v>0.55162093531078249</v>
      </c>
      <c r="Q10" s="104">
        <f t="shared" si="5"/>
        <v>11.139011698471823</v>
      </c>
      <c r="R10" s="106">
        <f t="shared" si="6"/>
        <v>68803.624104514864</v>
      </c>
      <c r="S10" s="107">
        <v>68870.715867764098</v>
      </c>
      <c r="T10" s="104">
        <f t="shared" si="1"/>
        <v>-2.6011901666637915</v>
      </c>
      <c r="U10" s="104">
        <f t="shared" si="2"/>
        <v>-2.6960731340870181</v>
      </c>
      <c r="V10" s="160"/>
      <c r="X10" s="157"/>
      <c r="Y10" s="155"/>
      <c r="Z10" s="158"/>
    </row>
    <row r="11" spans="1:26">
      <c r="A11" s="7" t="s">
        <v>67</v>
      </c>
      <c r="B11" s="164">
        <v>68527</v>
      </c>
      <c r="C11" s="122">
        <f t="shared" si="8"/>
        <v>6.8763866645116245E-3</v>
      </c>
      <c r="D11" s="119">
        <v>15398</v>
      </c>
      <c r="E11" s="122">
        <f t="shared" si="9"/>
        <v>0.15479226038698068</v>
      </c>
      <c r="F11" s="7">
        <v>67813.296000000002</v>
      </c>
      <c r="G11" s="7">
        <v>14378.123</v>
      </c>
      <c r="H11" s="165">
        <v>3.7216849625110626E-2</v>
      </c>
      <c r="I11" s="101">
        <f t="shared" si="7"/>
        <v>393481.05217778793</v>
      </c>
      <c r="J11" s="166">
        <v>0.56134099999999998</v>
      </c>
      <c r="K11" s="167">
        <f t="shared" si="3"/>
        <v>5.6134100000000003E-4</v>
      </c>
      <c r="L11" s="168">
        <v>0.6</v>
      </c>
      <c r="M11" s="104">
        <f t="shared" si="0"/>
        <v>6.3178543124255508</v>
      </c>
      <c r="N11" s="104">
        <f t="shared" si="4"/>
        <v>554.38218439269872</v>
      </c>
      <c r="O11" s="105">
        <v>572.18762536885595</v>
      </c>
      <c r="P11" s="105">
        <v>0.55044045385146567</v>
      </c>
      <c r="Q11" s="104">
        <f t="shared" si="5"/>
        <v>11.144360333798705</v>
      </c>
      <c r="R11" s="106">
        <f t="shared" si="6"/>
        <v>69172.615519604806</v>
      </c>
      <c r="S11" s="107">
        <v>69223.657606994733</v>
      </c>
      <c r="T11" s="104">
        <f t="shared" si="1"/>
        <v>-1.9651122187501313</v>
      </c>
      <c r="U11" s="104">
        <f t="shared" si="2"/>
        <v>-2.0373982764704701</v>
      </c>
      <c r="V11" s="160"/>
      <c r="X11" s="157"/>
      <c r="Y11" s="155"/>
      <c r="Z11" s="158"/>
    </row>
    <row r="12" spans="1:26">
      <c r="A12" s="7" t="s">
        <v>68</v>
      </c>
      <c r="B12" s="164">
        <v>67072</v>
      </c>
      <c r="C12" s="122">
        <f t="shared" si="8"/>
        <v>8.6326973535032936E-2</v>
      </c>
      <c r="D12" s="119">
        <v>9238</v>
      </c>
      <c r="E12" s="122">
        <f t="shared" si="9"/>
        <v>2.1389738362215427</v>
      </c>
      <c r="F12" s="7">
        <v>68501.62</v>
      </c>
      <c r="G12" s="7">
        <v>13712.239</v>
      </c>
      <c r="H12" s="165">
        <v>3.7216849625110626E-2</v>
      </c>
      <c r="I12" s="101">
        <f t="shared" si="7"/>
        <v>392549.16602855688</v>
      </c>
      <c r="J12" s="166">
        <v>0.56134099999999998</v>
      </c>
      <c r="K12" s="167">
        <f t="shared" si="3"/>
        <v>5.6134100000000003E-4</v>
      </c>
      <c r="L12" s="168">
        <v>0.6</v>
      </c>
      <c r="M12" s="104">
        <f t="shared" si="0"/>
        <v>6.3289018737453944</v>
      </c>
      <c r="N12" s="104">
        <f t="shared" si="4"/>
        <v>560.54071128463477</v>
      </c>
      <c r="O12" s="105">
        <v>576.38355537397103</v>
      </c>
      <c r="P12" s="105">
        <v>0.54934074375104114</v>
      </c>
      <c r="Q12" s="104">
        <f t="shared" si="5"/>
        <v>11.149518342223292</v>
      </c>
      <c r="R12" s="106">
        <f t="shared" si="6"/>
        <v>69530.330207808889</v>
      </c>
      <c r="S12" s="107">
        <v>69624.088288419298</v>
      </c>
      <c r="T12" s="104">
        <f t="shared" si="1"/>
        <v>-1.4795129042740496</v>
      </c>
      <c r="U12" s="104">
        <f t="shared" si="2"/>
        <v>-1.6121838231754726</v>
      </c>
      <c r="V12" s="160"/>
      <c r="X12" s="157"/>
      <c r="Y12" s="155"/>
      <c r="Z12" s="158"/>
    </row>
    <row r="13" spans="1:26">
      <c r="A13" s="7" t="s">
        <v>69</v>
      </c>
      <c r="B13" s="164">
        <v>74273</v>
      </c>
      <c r="C13" s="122">
        <f t="shared" si="8"/>
        <v>9.0293884501335908E-2</v>
      </c>
      <c r="D13" s="119">
        <v>19025</v>
      </c>
      <c r="E13" s="122">
        <f t="shared" si="9"/>
        <v>0.1559727791955281</v>
      </c>
      <c r="F13" s="7">
        <v>68741.712</v>
      </c>
      <c r="G13" s="7">
        <v>16018.507</v>
      </c>
      <c r="H13" s="165">
        <v>3.7216849625110626E-2</v>
      </c>
      <c r="I13" s="101">
        <f t="shared" si="7"/>
        <v>393958.22974600946</v>
      </c>
      <c r="J13" s="166">
        <v>0.56134099999999998</v>
      </c>
      <c r="K13" s="167">
        <f t="shared" si="3"/>
        <v>5.6134100000000003E-4</v>
      </c>
      <c r="L13" s="168">
        <v>0.6</v>
      </c>
      <c r="M13" s="104">
        <f t="shared" si="0"/>
        <v>6.330967417810113</v>
      </c>
      <c r="N13" s="104">
        <f t="shared" si="4"/>
        <v>561.69972941329365</v>
      </c>
      <c r="O13" s="105">
        <v>580.82279352622402</v>
      </c>
      <c r="P13" s="105">
        <v>0.54835448134344034</v>
      </c>
      <c r="Q13" s="104">
        <f t="shared" si="5"/>
        <v>11.157545772070382</v>
      </c>
      <c r="R13" s="106">
        <f t="shared" si="6"/>
        <v>70090.726316715882</v>
      </c>
      <c r="S13" s="107">
        <v>70074.628425662959</v>
      </c>
      <c r="T13" s="104">
        <f t="shared" si="1"/>
        <v>-1.9246687651946259</v>
      </c>
      <c r="U13" s="104">
        <f t="shared" si="2"/>
        <v>-1.9021384138725117</v>
      </c>
      <c r="V13" s="160"/>
      <c r="X13" s="157"/>
      <c r="Y13" s="155"/>
      <c r="Z13" s="158"/>
    </row>
    <row r="14" spans="1:26">
      <c r="A14" s="7" t="s">
        <v>70</v>
      </c>
      <c r="B14" s="164">
        <v>64254</v>
      </c>
      <c r="C14" s="122">
        <f t="shared" si="8"/>
        <v>-1.7387713905583357E-2</v>
      </c>
      <c r="D14" s="119">
        <v>17124</v>
      </c>
      <c r="E14" s="122">
        <f t="shared" si="9"/>
        <v>5.7102290264831268E-2</v>
      </c>
      <c r="F14" s="7">
        <v>68854.225000000006</v>
      </c>
      <c r="G14" s="7">
        <v>16846.677</v>
      </c>
      <c r="H14" s="165">
        <v>3.6792945116758347E-2</v>
      </c>
      <c r="I14" s="101">
        <f t="shared" si="7"/>
        <v>396310.0232206693</v>
      </c>
      <c r="J14" s="166">
        <v>0.54510800000000004</v>
      </c>
      <c r="K14" s="167">
        <f t="shared" si="3"/>
        <v>5.4510799999999999E-4</v>
      </c>
      <c r="L14" s="168">
        <v>0.6</v>
      </c>
      <c r="M14" s="104">
        <f t="shared" si="0"/>
        <v>6.3478288425043665</v>
      </c>
      <c r="N14" s="104">
        <f t="shared" si="4"/>
        <v>571.25108554509404</v>
      </c>
      <c r="O14" s="105">
        <v>585.48572459455079</v>
      </c>
      <c r="P14" s="105">
        <v>0.5475218431227501</v>
      </c>
      <c r="Q14" s="104">
        <f t="shared" si="5"/>
        <v>11.16701087633794</v>
      </c>
      <c r="R14" s="106">
        <f t="shared" si="6"/>
        <v>70757.291929646002</v>
      </c>
      <c r="S14" s="107">
        <v>70577.1969896706</v>
      </c>
      <c r="T14" s="104">
        <f t="shared" si="1"/>
        <v>-2.689570046770895</v>
      </c>
      <c r="U14" s="104">
        <f t="shared" si="2"/>
        <v>-2.4412587395936991</v>
      </c>
      <c r="V14" s="160"/>
      <c r="X14" s="157"/>
      <c r="Y14" s="155"/>
      <c r="Z14" s="158"/>
    </row>
    <row r="15" spans="1:26">
      <c r="A15" s="7" t="s">
        <v>71</v>
      </c>
      <c r="B15" s="164">
        <v>67256</v>
      </c>
      <c r="C15" s="122">
        <f t="shared" si="8"/>
        <v>-1.8547433858187246E-2</v>
      </c>
      <c r="D15" s="119">
        <v>14675</v>
      </c>
      <c r="E15" s="122">
        <f t="shared" si="9"/>
        <v>-4.6954149889596009E-2</v>
      </c>
      <c r="F15" s="7">
        <v>69022.683999999994</v>
      </c>
      <c r="G15" s="7">
        <v>13602.65</v>
      </c>
      <c r="H15" s="165">
        <v>3.6792945116758347E-2</v>
      </c>
      <c r="I15" s="101">
        <f t="shared" si="7"/>
        <v>395331.26028709003</v>
      </c>
      <c r="J15" s="166">
        <v>0.54510800000000004</v>
      </c>
      <c r="K15" s="167">
        <f t="shared" si="3"/>
        <v>5.4510799999999999E-4</v>
      </c>
      <c r="L15" s="168">
        <v>0.6</v>
      </c>
      <c r="M15" s="104">
        <f t="shared" si="0"/>
        <v>6.3512615560370893</v>
      </c>
      <c r="N15" s="104">
        <f t="shared" si="4"/>
        <v>573.2153964063906</v>
      </c>
      <c r="O15" s="105">
        <v>590.34078143281658</v>
      </c>
      <c r="P15" s="105">
        <v>0.54689112215721769</v>
      </c>
      <c r="Q15" s="104">
        <f t="shared" si="5"/>
        <v>11.173588371157098</v>
      </c>
      <c r="R15" s="106">
        <f t="shared" si="6"/>
        <v>71224.231613957978</v>
      </c>
      <c r="S15" s="107">
        <v>71132.879878621054</v>
      </c>
      <c r="T15" s="104">
        <f t="shared" si="1"/>
        <v>-3.091009287247326</v>
      </c>
      <c r="U15" s="104">
        <f t="shared" si="2"/>
        <v>-2.9665548227793326</v>
      </c>
      <c r="V15" s="160"/>
      <c r="X15" s="157"/>
      <c r="Y15" s="155"/>
      <c r="Z15" s="158"/>
    </row>
    <row r="16" spans="1:26">
      <c r="A16" s="7" t="s">
        <v>72</v>
      </c>
      <c r="B16" s="164">
        <v>70098</v>
      </c>
      <c r="C16" s="122">
        <f t="shared" si="8"/>
        <v>4.5115696564885566E-2</v>
      </c>
      <c r="D16" s="119">
        <v>10828</v>
      </c>
      <c r="E16" s="122">
        <f t="shared" si="9"/>
        <v>0.17211517644511809</v>
      </c>
      <c r="F16" s="7">
        <v>70000.740000000005</v>
      </c>
      <c r="G16" s="7">
        <v>15129.257</v>
      </c>
      <c r="H16" s="165">
        <v>3.6792945116758347E-2</v>
      </c>
      <c r="I16" s="101">
        <f t="shared" si="7"/>
        <v>395915.11592440819</v>
      </c>
      <c r="J16" s="166">
        <v>0.54510800000000004</v>
      </c>
      <c r="K16" s="167">
        <f t="shared" si="3"/>
        <v>5.4510799999999999E-4</v>
      </c>
      <c r="L16" s="168">
        <v>0.6</v>
      </c>
      <c r="M16" s="104">
        <f t="shared" si="0"/>
        <v>6.3647418502788948</v>
      </c>
      <c r="N16" s="104">
        <f t="shared" si="4"/>
        <v>580.99482530412195</v>
      </c>
      <c r="O16" s="105">
        <v>595.34750024548066</v>
      </c>
      <c r="P16" s="105">
        <v>0.54650910286313858</v>
      </c>
      <c r="Q16" s="104">
        <f t="shared" si="5"/>
        <v>11.18220472559522</v>
      </c>
      <c r="R16" s="106">
        <f t="shared" si="6"/>
        <v>71840.576347270835</v>
      </c>
      <c r="S16" s="107">
        <v>71741.686133199619</v>
      </c>
      <c r="T16" s="104">
        <f t="shared" si="1"/>
        <v>-2.5609988683515383</v>
      </c>
      <c r="U16" s="104">
        <f t="shared" si="2"/>
        <v>-2.4266869473450581</v>
      </c>
      <c r="V16" s="160"/>
      <c r="X16" s="157"/>
      <c r="Y16" s="155"/>
      <c r="Z16" s="158"/>
    </row>
    <row r="17" spans="1:26">
      <c r="A17" s="7" t="s">
        <v>73</v>
      </c>
      <c r="B17" s="164">
        <v>79773</v>
      </c>
      <c r="C17" s="122">
        <f t="shared" si="8"/>
        <v>7.4051135675144319E-2</v>
      </c>
      <c r="D17" s="119">
        <v>14207</v>
      </c>
      <c r="E17" s="122">
        <f t="shared" si="9"/>
        <v>-0.25324572930354794</v>
      </c>
      <c r="F17" s="7">
        <v>71058.535999999905</v>
      </c>
      <c r="G17" s="7">
        <v>10950.313</v>
      </c>
      <c r="H17" s="165">
        <v>3.6792945116758347E-2</v>
      </c>
      <c r="I17" s="101">
        <f t="shared" si="7"/>
        <v>392298.54579330643</v>
      </c>
      <c r="J17" s="166">
        <v>0.54510800000000004</v>
      </c>
      <c r="K17" s="167">
        <f t="shared" si="3"/>
        <v>5.4510799999999999E-4</v>
      </c>
      <c r="L17" s="168">
        <v>0.6</v>
      </c>
      <c r="M17" s="104">
        <f t="shared" si="0"/>
        <v>6.3834107002162286</v>
      </c>
      <c r="N17" s="104">
        <f t="shared" si="4"/>
        <v>591.9432094008132</v>
      </c>
      <c r="O17" s="105">
        <v>600.45471387136081</v>
      </c>
      <c r="P17" s="105">
        <v>0.54642145520546015</v>
      </c>
      <c r="Q17" s="104">
        <f t="shared" si="5"/>
        <v>11.186979771757894</v>
      </c>
      <c r="R17" s="106">
        <f t="shared" si="6"/>
        <v>72184.438741716862</v>
      </c>
      <c r="S17" s="107">
        <v>72402.305921667445</v>
      </c>
      <c r="T17" s="104">
        <f t="shared" si="1"/>
        <v>-1.559758254470256</v>
      </c>
      <c r="U17" s="104">
        <f t="shared" si="2"/>
        <v>-1.8559766910205555</v>
      </c>
      <c r="V17" s="160"/>
      <c r="X17" s="157"/>
      <c r="Y17" s="155"/>
      <c r="Z17" s="158"/>
    </row>
    <row r="18" spans="1:26">
      <c r="A18" s="7" t="s">
        <v>74</v>
      </c>
      <c r="B18" s="164">
        <v>64540</v>
      </c>
      <c r="C18" s="122">
        <f t="shared" si="8"/>
        <v>4.4510847573691059E-3</v>
      </c>
      <c r="D18" s="119">
        <v>11106</v>
      </c>
      <c r="E18" s="122">
        <f t="shared" si="9"/>
        <v>-0.35143658023826208</v>
      </c>
      <c r="F18" s="7">
        <v>70990.024999999994</v>
      </c>
      <c r="G18" s="7">
        <v>11355.884</v>
      </c>
      <c r="H18" s="165">
        <v>3.6289900541305542E-2</v>
      </c>
      <c r="I18" s="101">
        <f t="shared" si="7"/>
        <v>389417.95458396856</v>
      </c>
      <c r="J18" s="166">
        <v>0.52299499999999999</v>
      </c>
      <c r="K18" s="167">
        <f t="shared" si="3"/>
        <v>5.2299499999999995E-4</v>
      </c>
      <c r="L18" s="168">
        <v>0.6</v>
      </c>
      <c r="M18" s="104">
        <f t="shared" si="0"/>
        <v>6.4102412866358742</v>
      </c>
      <c r="N18" s="104">
        <f t="shared" si="4"/>
        <v>608.04037537972408</v>
      </c>
      <c r="O18" s="105">
        <v>605.60228472743654</v>
      </c>
      <c r="P18" s="105">
        <v>0.54667297345984012</v>
      </c>
      <c r="Q18" s="104">
        <f t="shared" si="5"/>
        <v>11.192844160409745</v>
      </c>
      <c r="R18" s="106">
        <f t="shared" si="6"/>
        <v>72609.000024540044</v>
      </c>
      <c r="S18" s="107">
        <v>73112.341320952444</v>
      </c>
      <c r="T18" s="104">
        <f t="shared" si="1"/>
        <v>-2.2297167348302227</v>
      </c>
      <c r="U18" s="104">
        <f t="shared" si="2"/>
        <v>-2.9028154243286974</v>
      </c>
      <c r="V18" s="160"/>
      <c r="X18" s="157"/>
      <c r="Y18" s="155"/>
      <c r="Z18" s="158"/>
    </row>
    <row r="19" spans="1:26">
      <c r="A19" s="7" t="s">
        <v>75</v>
      </c>
      <c r="B19" s="164">
        <v>69659</v>
      </c>
      <c r="C19" s="122">
        <f t="shared" si="8"/>
        <v>3.5729154276198383E-2</v>
      </c>
      <c r="D19" s="119">
        <v>17872</v>
      </c>
      <c r="E19" s="122">
        <f t="shared" si="9"/>
        <v>0.21785349233390128</v>
      </c>
      <c r="F19" s="7">
        <v>72289.948000000004</v>
      </c>
      <c r="G19" s="7">
        <v>16718.04</v>
      </c>
      <c r="H19" s="165">
        <v>3.6289900541305542E-2</v>
      </c>
      <c r="I19" s="101">
        <f t="shared" si="7"/>
        <v>392004.0557431177</v>
      </c>
      <c r="J19" s="166">
        <v>0.52299499999999999</v>
      </c>
      <c r="K19" s="167">
        <f t="shared" si="3"/>
        <v>5.2299499999999995E-4</v>
      </c>
      <c r="L19" s="168">
        <v>0.6</v>
      </c>
      <c r="M19" s="104">
        <f t="shared" si="0"/>
        <v>6.4257394057835411</v>
      </c>
      <c r="N19" s="104">
        <f t="shared" si="4"/>
        <v>617.53725939532399</v>
      </c>
      <c r="O19" s="105">
        <v>610.72475554039318</v>
      </c>
      <c r="P19" s="105">
        <v>0.54730763099243296</v>
      </c>
      <c r="Q19" s="104">
        <f t="shared" si="5"/>
        <v>11.204610818974276</v>
      </c>
      <c r="R19" s="106">
        <f t="shared" si="6"/>
        <v>73468.411622215848</v>
      </c>
      <c r="S19" s="107">
        <v>73868.55455178149</v>
      </c>
      <c r="T19" s="104">
        <f t="shared" si="1"/>
        <v>-1.6040412419362715</v>
      </c>
      <c r="U19" s="104">
        <f t="shared" si="2"/>
        <v>-2.1370481138559327</v>
      </c>
      <c r="V19" s="160"/>
      <c r="X19" s="157"/>
      <c r="Y19" s="155"/>
      <c r="Z19" s="158"/>
    </row>
    <row r="20" spans="1:26">
      <c r="A20" s="7" t="s">
        <v>76</v>
      </c>
      <c r="B20" s="164">
        <v>74784</v>
      </c>
      <c r="C20" s="122">
        <f t="shared" si="8"/>
        <v>6.6849268167422649E-2</v>
      </c>
      <c r="D20" s="119">
        <v>12905</v>
      </c>
      <c r="E20" s="122">
        <f t="shared" si="9"/>
        <v>0.19181751015884752</v>
      </c>
      <c r="F20" s="7">
        <v>74687.240000000005</v>
      </c>
      <c r="G20" s="7">
        <v>17118.411</v>
      </c>
      <c r="H20" s="165">
        <v>3.6289900541305542E-2</v>
      </c>
      <c r="I20" s="101">
        <f t="shared" si="7"/>
        <v>394896.67854841158</v>
      </c>
      <c r="J20" s="166">
        <v>0.52299499999999999</v>
      </c>
      <c r="K20" s="167">
        <f t="shared" si="3"/>
        <v>5.2299499999999995E-4</v>
      </c>
      <c r="L20" s="168">
        <v>0.6</v>
      </c>
      <c r="M20" s="104">
        <f t="shared" si="0"/>
        <v>6.4554227904970389</v>
      </c>
      <c r="N20" s="104">
        <f t="shared" si="4"/>
        <v>636.14262446134023</v>
      </c>
      <c r="O20" s="105">
        <v>615.75819284357362</v>
      </c>
      <c r="P20" s="105">
        <v>0.54835460243598055</v>
      </c>
      <c r="Q20" s="104">
        <f t="shared" si="5"/>
        <v>11.216906246991957</v>
      </c>
      <c r="R20" s="106">
        <f t="shared" si="6"/>
        <v>74377.313406690053</v>
      </c>
      <c r="S20" s="107">
        <v>74666.381387180852</v>
      </c>
      <c r="T20" s="104">
        <f t="shared" si="1"/>
        <v>0.41669506347359331</v>
      </c>
      <c r="U20" s="104">
        <f t="shared" si="2"/>
        <v>2.7935748902829793E-2</v>
      </c>
      <c r="V20" s="160"/>
      <c r="X20" s="157"/>
      <c r="Y20" s="155"/>
      <c r="Z20" s="158"/>
    </row>
    <row r="21" spans="1:26">
      <c r="A21" s="7" t="s">
        <v>77</v>
      </c>
      <c r="B21" s="164">
        <v>85550</v>
      </c>
      <c r="C21" s="122">
        <f t="shared" si="8"/>
        <v>7.2417986035375304E-2</v>
      </c>
      <c r="D21" s="119">
        <v>25552</v>
      </c>
      <c r="E21" s="122">
        <f t="shared" si="9"/>
        <v>0.79855001055817554</v>
      </c>
      <c r="F21" s="7">
        <v>76359.604000000007</v>
      </c>
      <c r="G21" s="7">
        <v>21950.445</v>
      </c>
      <c r="H21" s="165">
        <v>3.6289900541305542E-2</v>
      </c>
      <c r="I21" s="101">
        <f t="shared" si="7"/>
        <v>402516.36235979781</v>
      </c>
      <c r="J21" s="166">
        <v>0.52299499999999999</v>
      </c>
      <c r="K21" s="167">
        <f t="shared" si="3"/>
        <v>5.2299499999999995E-4</v>
      </c>
      <c r="L21" s="168">
        <v>0.6</v>
      </c>
      <c r="M21" s="104">
        <f t="shared" si="0"/>
        <v>6.4699227062443851</v>
      </c>
      <c r="N21" s="104">
        <f t="shared" si="4"/>
        <v>645.4338370317314</v>
      </c>
      <c r="O21" s="105">
        <v>620.64292098523003</v>
      </c>
      <c r="P21" s="105">
        <v>0.54982786702885444</v>
      </c>
      <c r="Q21" s="104">
        <f t="shared" si="5"/>
        <v>11.234062309557427</v>
      </c>
      <c r="R21" s="106">
        <f t="shared" si="6"/>
        <v>75664.343868977492</v>
      </c>
      <c r="S21" s="107">
        <v>75500.270971081904</v>
      </c>
      <c r="T21" s="104">
        <f t="shared" si="1"/>
        <v>0.9188741955212798</v>
      </c>
      <c r="U21" s="104">
        <f t="shared" si="2"/>
        <v>1.1381853573045442</v>
      </c>
      <c r="V21" s="160"/>
      <c r="X21" s="157"/>
      <c r="Y21" s="155"/>
      <c r="Z21" s="158"/>
    </row>
    <row r="22" spans="1:26" s="162" customFormat="1">
      <c r="A22" s="7" t="s">
        <v>78</v>
      </c>
      <c r="B22" s="164">
        <v>70626</v>
      </c>
      <c r="C22" s="122">
        <f t="shared" si="8"/>
        <v>9.4298109699411325E-2</v>
      </c>
      <c r="D22" s="119">
        <v>11912</v>
      </c>
      <c r="E22" s="122">
        <f t="shared" si="9"/>
        <v>7.2573383756528109E-2</v>
      </c>
      <c r="F22" s="7">
        <v>76358.054000000004</v>
      </c>
      <c r="G22" s="7">
        <v>12522.776</v>
      </c>
      <c r="H22" s="165">
        <v>3.584299236536026E-2</v>
      </c>
      <c r="I22" s="101">
        <f t="shared" si="7"/>
        <v>400611.74745680299</v>
      </c>
      <c r="J22" s="166">
        <v>0.54525299999999999</v>
      </c>
      <c r="K22" s="167">
        <f t="shared" si="3"/>
        <v>5.4525299999999999E-4</v>
      </c>
      <c r="L22" s="168">
        <v>0.6</v>
      </c>
      <c r="M22" s="104">
        <f t="shared" si="0"/>
        <v>6.4467928055038533</v>
      </c>
      <c r="N22" s="104">
        <f t="shared" si="4"/>
        <v>630.67634404350861</v>
      </c>
      <c r="O22" s="105">
        <v>625.33200458337569</v>
      </c>
      <c r="P22" s="108">
        <v>0.55172555425790359</v>
      </c>
      <c r="Q22" s="104">
        <f t="shared" si="5"/>
        <v>11.241759202210179</v>
      </c>
      <c r="R22" s="106">
        <f t="shared" si="6"/>
        <v>76248.971222155029</v>
      </c>
      <c r="S22" s="109">
        <v>76364.685484049041</v>
      </c>
      <c r="T22" s="104">
        <f t="shared" si="1"/>
        <v>0.14306131098760222</v>
      </c>
      <c r="U22" s="104">
        <f t="shared" si="2"/>
        <v>-8.6839669501737049E-3</v>
      </c>
      <c r="V22" s="161"/>
      <c r="Y22" s="161"/>
    </row>
    <row r="23" spans="1:26" s="162" customFormat="1">
      <c r="A23" s="7" t="s">
        <v>79</v>
      </c>
      <c r="B23" s="164">
        <v>77089</v>
      </c>
      <c r="C23" s="122">
        <f t="shared" si="8"/>
        <v>0.10666245567694044</v>
      </c>
      <c r="D23" s="119">
        <v>24351</v>
      </c>
      <c r="E23" s="122">
        <f t="shared" si="9"/>
        <v>0.36252238137869286</v>
      </c>
      <c r="F23" s="7">
        <v>78211.346999999994</v>
      </c>
      <c r="G23" s="7">
        <v>23229.764999999999</v>
      </c>
      <c r="H23" s="165">
        <v>3.584299236536026E-2</v>
      </c>
      <c r="I23" s="101">
        <f t="shared" si="7"/>
        <v>409482.3886512352</v>
      </c>
      <c r="J23" s="166">
        <v>0.54525299999999999</v>
      </c>
      <c r="K23" s="167">
        <f t="shared" si="3"/>
        <v>5.4525299999999999E-4</v>
      </c>
      <c r="L23" s="168">
        <v>0.6</v>
      </c>
      <c r="M23" s="104">
        <f t="shared" si="0"/>
        <v>6.462013571662732</v>
      </c>
      <c r="N23" s="104">
        <f t="shared" si="4"/>
        <v>640.34914820101005</v>
      </c>
      <c r="O23" s="105">
        <v>629.79400257855286</v>
      </c>
      <c r="P23" s="108">
        <v>0.5540290230680841</v>
      </c>
      <c r="Q23" s="104">
        <f t="shared" si="5"/>
        <v>11.260129532400889</v>
      </c>
      <c r="R23" s="106">
        <f t="shared" si="6"/>
        <v>77662.634979789815</v>
      </c>
      <c r="S23" s="109">
        <v>77254.624189789727</v>
      </c>
      <c r="T23" s="104">
        <f t="shared" si="1"/>
        <v>0.70653283957333723</v>
      </c>
      <c r="U23" s="104">
        <f t="shared" si="2"/>
        <v>1.2384019989015949</v>
      </c>
      <c r="V23" s="161"/>
      <c r="Y23" s="161"/>
    </row>
    <row r="24" spans="1:26" s="162" customFormat="1">
      <c r="A24" s="7" t="s">
        <v>80</v>
      </c>
      <c r="B24" s="164">
        <v>76410</v>
      </c>
      <c r="C24" s="122">
        <f t="shared" si="8"/>
        <v>2.1742618741976916E-2</v>
      </c>
      <c r="D24" s="119">
        <v>7793</v>
      </c>
      <c r="E24" s="122">
        <f t="shared" si="9"/>
        <v>-0.39612553273924833</v>
      </c>
      <c r="F24" s="7">
        <v>77748.350000000006</v>
      </c>
      <c r="G24" s="7">
        <v>11910.038</v>
      </c>
      <c r="H24" s="165">
        <v>3.584299236536026E-2</v>
      </c>
      <c r="I24" s="101">
        <f t="shared" si="7"/>
        <v>406715.35252105951</v>
      </c>
      <c r="J24" s="166">
        <v>0.54525299999999999</v>
      </c>
      <c r="K24" s="167">
        <f t="shared" si="3"/>
        <v>5.4525299999999999E-4</v>
      </c>
      <c r="L24" s="168">
        <v>0.6</v>
      </c>
      <c r="M24" s="104">
        <f t="shared" si="0"/>
        <v>6.4587882949868494</v>
      </c>
      <c r="N24" s="104">
        <f t="shared" si="4"/>
        <v>638.28717203816791</v>
      </c>
      <c r="O24" s="105">
        <v>634.0008141234664</v>
      </c>
      <c r="P24" s="108">
        <v>0.55671558705794078</v>
      </c>
      <c r="Q24" s="104">
        <f t="shared" si="5"/>
        <v>11.26697730352366</v>
      </c>
      <c r="R24" s="106">
        <f t="shared" si="6"/>
        <v>78196.275969313632</v>
      </c>
      <c r="S24" s="109">
        <v>78165.082207333908</v>
      </c>
      <c r="T24" s="104">
        <f t="shared" si="1"/>
        <v>-0.57282263606697192</v>
      </c>
      <c r="U24" s="104">
        <f t="shared" si="2"/>
        <v>-0.53314369481313184</v>
      </c>
      <c r="V24" s="161"/>
      <c r="Y24" s="161"/>
    </row>
    <row r="25" spans="1:26" s="162" customFormat="1">
      <c r="A25" s="7" t="s">
        <v>81</v>
      </c>
      <c r="B25" s="164">
        <v>84322</v>
      </c>
      <c r="C25" s="122">
        <f t="shared" si="8"/>
        <v>-1.4354178842782006E-2</v>
      </c>
      <c r="D25" s="119">
        <v>17156</v>
      </c>
      <c r="E25" s="122">
        <f t="shared" si="9"/>
        <v>-0.32858484658735132</v>
      </c>
      <c r="F25" s="7">
        <v>78530.183999999994</v>
      </c>
      <c r="G25" s="7">
        <v>13409.782999999999</v>
      </c>
      <c r="H25" s="165">
        <v>3.584299236536026E-2</v>
      </c>
      <c r="I25" s="101">
        <f t="shared" si="7"/>
        <v>405547.24024577235</v>
      </c>
      <c r="J25" s="166">
        <v>0.54525299999999999</v>
      </c>
      <c r="K25" s="167">
        <f t="shared" si="3"/>
        <v>5.4525299999999999E-4</v>
      </c>
      <c r="L25" s="168">
        <v>0.6</v>
      </c>
      <c r="M25" s="104">
        <f t="shared" si="0"/>
        <v>6.4699445047276702</v>
      </c>
      <c r="N25" s="104">
        <f t="shared" si="4"/>
        <v>645.44790666378731</v>
      </c>
      <c r="O25" s="105">
        <v>637.93093533683532</v>
      </c>
      <c r="P25" s="108">
        <v>0.55975707481160086</v>
      </c>
      <c r="Q25" s="104">
        <f t="shared" si="5"/>
        <v>11.275275652856376</v>
      </c>
      <c r="R25" s="106">
        <f t="shared" si="6"/>
        <v>78847.875846292329</v>
      </c>
      <c r="S25" s="109">
        <v>79091.652607467899</v>
      </c>
      <c r="T25" s="104">
        <f t="shared" si="1"/>
        <v>-0.40291744436039556</v>
      </c>
      <c r="U25" s="104">
        <f t="shared" si="2"/>
        <v>-0.7098961634478318</v>
      </c>
      <c r="V25" s="161"/>
      <c r="Y25" s="161"/>
    </row>
    <row r="26" spans="1:26" s="162" customFormat="1">
      <c r="A26" s="7" t="s">
        <v>82</v>
      </c>
      <c r="B26" s="164">
        <v>76991</v>
      </c>
      <c r="C26" s="122">
        <f t="shared" si="8"/>
        <v>9.0122617732846244E-2</v>
      </c>
      <c r="D26" s="119">
        <v>14856</v>
      </c>
      <c r="E26" s="122">
        <f t="shared" si="9"/>
        <v>0.24714573539288121</v>
      </c>
      <c r="F26" s="7">
        <v>80900.58</v>
      </c>
      <c r="G26" s="7">
        <v>15517.066999999999</v>
      </c>
      <c r="H26" s="165">
        <v>3.551970049738884E-2</v>
      </c>
      <c r="I26" s="101">
        <f t="shared" si="7"/>
        <v>406659.3907346999</v>
      </c>
      <c r="J26" s="166">
        <v>0.55970200000000003</v>
      </c>
      <c r="K26" s="167">
        <f t="shared" si="3"/>
        <v>5.5970200000000003E-4</v>
      </c>
      <c r="L26" s="168">
        <v>0.6</v>
      </c>
      <c r="M26" s="104">
        <f t="shared" si="0"/>
        <v>6.4828942457166452</v>
      </c>
      <c r="N26" s="104">
        <f t="shared" si="4"/>
        <v>653.86064369501969</v>
      </c>
      <c r="O26" s="105">
        <v>641.56554131107521</v>
      </c>
      <c r="P26" s="108">
        <v>0.56311815079628047</v>
      </c>
      <c r="Q26" s="104">
        <f t="shared" si="5"/>
        <v>11.285644354050426</v>
      </c>
      <c r="R26" s="106">
        <f t="shared" si="6"/>
        <v>79669.679064074458</v>
      </c>
      <c r="S26" s="109">
        <v>80029.66800334843</v>
      </c>
      <c r="T26" s="104">
        <f t="shared" si="1"/>
        <v>1.5450055157566256</v>
      </c>
      <c r="U26" s="104">
        <f t="shared" si="2"/>
        <v>1.0882364232913444</v>
      </c>
      <c r="V26" s="161"/>
      <c r="Y26" s="161"/>
    </row>
    <row r="27" spans="1:26">
      <c r="A27" s="7" t="s">
        <v>83</v>
      </c>
      <c r="B27" s="164">
        <v>79988</v>
      </c>
      <c r="C27" s="122">
        <f t="shared" si="8"/>
        <v>3.7605884107979159E-2</v>
      </c>
      <c r="D27" s="119">
        <v>19453</v>
      </c>
      <c r="E27" s="122">
        <f t="shared" si="9"/>
        <v>-0.20114163689376208</v>
      </c>
      <c r="F27" s="7">
        <v>80464.379000000001</v>
      </c>
      <c r="G27" s="7">
        <v>18747.953000000001</v>
      </c>
      <c r="H27" s="165">
        <v>3.551970049738884E-2</v>
      </c>
      <c r="I27" s="101">
        <f t="shared" si="7"/>
        <v>410962.92397135275</v>
      </c>
      <c r="J27" s="166">
        <v>0.56629300000000005</v>
      </c>
      <c r="K27" s="167">
        <f t="shared" si="3"/>
        <v>5.6629300000000005E-4</v>
      </c>
      <c r="L27" s="168">
        <v>0.6</v>
      </c>
      <c r="M27" s="104">
        <f t="shared" si="0"/>
        <v>6.4662527566709977</v>
      </c>
      <c r="N27" s="104">
        <f t="shared" si="4"/>
        <v>643.06946860702601</v>
      </c>
      <c r="O27" s="105">
        <v>644.8905052456812</v>
      </c>
      <c r="P27" s="105">
        <v>0.56675441443243857</v>
      </c>
      <c r="Q27" s="104">
        <f t="shared" si="5"/>
        <v>11.298886334756306</v>
      </c>
      <c r="R27" s="106">
        <f t="shared" si="6"/>
        <v>80731.679392575272</v>
      </c>
      <c r="S27" s="107">
        <v>80974.110090252594</v>
      </c>
      <c r="T27" s="104">
        <f t="shared" si="1"/>
        <v>-0.33109727753273255</v>
      </c>
      <c r="U27" s="104">
        <f t="shared" si="2"/>
        <v>-0.6294988480694097</v>
      </c>
      <c r="V27" s="160"/>
      <c r="Y27" s="160"/>
    </row>
    <row r="28" spans="1:26">
      <c r="A28" s="7" t="s">
        <v>84</v>
      </c>
      <c r="B28" s="164">
        <v>81024</v>
      </c>
      <c r="C28" s="122">
        <f t="shared" si="8"/>
        <v>6.0384766391833544E-2</v>
      </c>
      <c r="D28" s="119">
        <v>13147</v>
      </c>
      <c r="E28" s="122">
        <f t="shared" si="9"/>
        <v>0.68702681894007434</v>
      </c>
      <c r="F28" s="7">
        <v>81023.751000000004</v>
      </c>
      <c r="G28" s="7">
        <v>16947.458999999999</v>
      </c>
      <c r="H28" s="165">
        <v>3.551970049738884E-2</v>
      </c>
      <c r="I28" s="101">
        <f t="shared" si="7"/>
        <v>413313.10299635911</v>
      </c>
      <c r="J28" s="166">
        <v>0.57681300000000002</v>
      </c>
      <c r="K28" s="167">
        <f t="shared" si="3"/>
        <v>5.7681300000000002E-4</v>
      </c>
      <c r="L28" s="168">
        <v>0.6</v>
      </c>
      <c r="M28" s="104">
        <f t="shared" si="0"/>
        <v>6.4598556246292489</v>
      </c>
      <c r="N28" s="104">
        <f t="shared" si="4"/>
        <v>638.96879855263091</v>
      </c>
      <c r="O28" s="105">
        <v>647.89938477913836</v>
      </c>
      <c r="P28" s="105">
        <v>0.5706193300462864</v>
      </c>
      <c r="Q28" s="104">
        <f t="shared" si="5"/>
        <v>11.30989991679008</v>
      </c>
      <c r="R28" s="106">
        <f t="shared" si="6"/>
        <v>81625.73872684408</v>
      </c>
      <c r="S28" s="107">
        <v>81920.504883455375</v>
      </c>
      <c r="T28" s="104">
        <f t="shared" si="1"/>
        <v>-0.73749743185613781</v>
      </c>
      <c r="U28" s="104">
        <f t="shared" si="2"/>
        <v>-1.0946635213383349</v>
      </c>
    </row>
    <row r="29" spans="1:26">
      <c r="A29" s="7" t="s">
        <v>85</v>
      </c>
      <c r="B29" s="164">
        <v>86289</v>
      </c>
      <c r="C29" s="122">
        <f t="shared" si="8"/>
        <v>2.33272455586917E-2</v>
      </c>
      <c r="D29" s="119">
        <v>19563</v>
      </c>
      <c r="E29" s="122">
        <f t="shared" si="9"/>
        <v>0.14030076941011882</v>
      </c>
      <c r="F29" s="7">
        <v>81639.581000000006</v>
      </c>
      <c r="G29" s="7">
        <v>15581.322</v>
      </c>
      <c r="H29" s="165">
        <v>3.551970049738884E-2</v>
      </c>
      <c r="I29" s="101">
        <f t="shared" si="7"/>
        <v>414213.66736628202</v>
      </c>
      <c r="J29" s="166">
        <v>0.57881000000000005</v>
      </c>
      <c r="K29" s="167">
        <f t="shared" si="3"/>
        <v>5.7881000000000002E-4</v>
      </c>
      <c r="L29" s="168">
        <v>0.6</v>
      </c>
      <c r="M29" s="104">
        <f t="shared" si="0"/>
        <v>6.4644831992036274</v>
      </c>
      <c r="N29" s="104">
        <f t="shared" si="4"/>
        <v>641.93252646572137</v>
      </c>
      <c r="O29" s="105">
        <v>650.58459940203261</v>
      </c>
      <c r="P29" s="105">
        <v>0.57466607358001487</v>
      </c>
      <c r="Q29" s="104">
        <f t="shared" si="5"/>
        <v>11.319146543061922</v>
      </c>
      <c r="R29" s="106">
        <f t="shared" si="6"/>
        <v>82384.001711609992</v>
      </c>
      <c r="S29" s="107">
        <v>82864.05981630036</v>
      </c>
      <c r="T29" s="104">
        <f t="shared" si="1"/>
        <v>-0.90359863097676518</v>
      </c>
      <c r="U29" s="104">
        <f t="shared" si="2"/>
        <v>-1.4776959021979841</v>
      </c>
    </row>
    <row r="30" spans="1:26">
      <c r="A30" s="7" t="s">
        <v>86</v>
      </c>
      <c r="B30" s="164">
        <v>77365</v>
      </c>
      <c r="C30" s="122">
        <f t="shared" si="8"/>
        <v>4.857710641503532E-3</v>
      </c>
      <c r="D30" s="119">
        <v>15074</v>
      </c>
      <c r="E30" s="122">
        <f t="shared" si="9"/>
        <v>1.4674205708131494E-2</v>
      </c>
      <c r="F30" s="7">
        <v>82875.548999999999</v>
      </c>
      <c r="G30" s="7">
        <v>15739.691999999999</v>
      </c>
      <c r="H30" s="165">
        <v>3.5619623959064484E-2</v>
      </c>
      <c r="I30" s="101">
        <f t="shared" si="7"/>
        <v>415199.22429599002</v>
      </c>
      <c r="J30" s="166">
        <v>0.57930099999999995</v>
      </c>
      <c r="K30" s="167">
        <f t="shared" si="3"/>
        <v>5.7930099999999995E-4</v>
      </c>
      <c r="L30" s="168">
        <v>0.6</v>
      </c>
      <c r="M30" s="104">
        <f t="shared" si="0"/>
        <v>6.4780496996699988</v>
      </c>
      <c r="N30" s="104">
        <f t="shared" si="4"/>
        <v>650.70064625542852</v>
      </c>
      <c r="O30" s="105">
        <v>652.93298698855847</v>
      </c>
      <c r="P30" s="105">
        <v>0.57885169201953623</v>
      </c>
      <c r="Q30" s="104">
        <f t="shared" si="5"/>
        <v>11.328054610183738</v>
      </c>
      <c r="R30" s="106">
        <f t="shared" si="6"/>
        <v>83121.16239233916</v>
      </c>
      <c r="S30" s="107">
        <v>83799.421850953993</v>
      </c>
      <c r="T30" s="104">
        <f t="shared" si="1"/>
        <v>-0.29548839942811211</v>
      </c>
      <c r="U30" s="104">
        <f t="shared" si="2"/>
        <v>-1.1024811753441388</v>
      </c>
    </row>
    <row r="31" spans="1:26">
      <c r="A31" s="7" t="s">
        <v>87</v>
      </c>
      <c r="B31" s="164">
        <v>83626</v>
      </c>
      <c r="C31" s="122">
        <f t="shared" si="8"/>
        <v>4.5481822273341077E-2</v>
      </c>
      <c r="D31" s="119">
        <v>12202</v>
      </c>
      <c r="E31" s="122">
        <f t="shared" si="9"/>
        <v>-0.37274456382049037</v>
      </c>
      <c r="F31" s="7">
        <v>84652.553</v>
      </c>
      <c r="G31" s="7">
        <v>12083.503000000001</v>
      </c>
      <c r="H31" s="165">
        <v>3.5619623959064484E-2</v>
      </c>
      <c r="I31" s="101">
        <f t="shared" si="7"/>
        <v>412493.4870584716</v>
      </c>
      <c r="J31" s="166">
        <v>0.58925399999999994</v>
      </c>
      <c r="K31" s="167">
        <f t="shared" si="3"/>
        <v>5.8925399999999999E-4</v>
      </c>
      <c r="L31" s="168">
        <v>0.6</v>
      </c>
      <c r="M31" s="104">
        <f t="shared" si="0"/>
        <v>6.4916590376527212</v>
      </c>
      <c r="N31" s="104">
        <f t="shared" si="4"/>
        <v>659.61678503317933</v>
      </c>
      <c r="O31" s="105">
        <v>654.92597786732506</v>
      </c>
      <c r="P31" s="105">
        <v>0.58313582230477501</v>
      </c>
      <c r="Q31" s="104">
        <f t="shared" si="5"/>
        <v>11.332911407591482</v>
      </c>
      <c r="R31" s="106">
        <f t="shared" si="6"/>
        <v>83525.84697840827</v>
      </c>
      <c r="S31" s="107">
        <v>84720.47265032251</v>
      </c>
      <c r="T31" s="104">
        <f t="shared" si="1"/>
        <v>1.3489309744838529</v>
      </c>
      <c r="U31" s="104">
        <f t="shared" si="2"/>
        <v>-8.0169111665417958E-2</v>
      </c>
    </row>
    <row r="32" spans="1:26">
      <c r="A32" s="7" t="s">
        <v>88</v>
      </c>
      <c r="B32" s="164">
        <v>89439</v>
      </c>
      <c r="C32" s="122">
        <f t="shared" si="8"/>
        <v>0.10385811611374418</v>
      </c>
      <c r="D32" s="119">
        <v>20709</v>
      </c>
      <c r="E32" s="122">
        <f t="shared" si="9"/>
        <v>0.5751882558758652</v>
      </c>
      <c r="F32" s="7">
        <v>87574.404999999999</v>
      </c>
      <c r="G32" s="7">
        <v>24259.413</v>
      </c>
      <c r="H32" s="165">
        <v>3.5619623959064484E-2</v>
      </c>
      <c r="I32" s="101">
        <f t="shared" si="7"/>
        <v>422060.0371638856</v>
      </c>
      <c r="J32" s="166">
        <v>0.59832700000000005</v>
      </c>
      <c r="K32" s="167">
        <f t="shared" si="3"/>
        <v>5.9832700000000006E-4</v>
      </c>
      <c r="L32" s="168">
        <v>0.6</v>
      </c>
      <c r="M32" s="104">
        <f t="shared" si="0"/>
        <v>6.5072536244875065</v>
      </c>
      <c r="N32" s="104">
        <f t="shared" si="4"/>
        <v>669.98386130304596</v>
      </c>
      <c r="O32" s="105">
        <v>656.54360715398343</v>
      </c>
      <c r="P32" s="105">
        <v>0.58747838219314352</v>
      </c>
      <c r="Q32" s="104">
        <f t="shared" si="5"/>
        <v>11.349000757708435</v>
      </c>
      <c r="R32" s="106">
        <f t="shared" si="6"/>
        <v>84880.59283968831</v>
      </c>
      <c r="S32" s="107">
        <v>85620.516456780315</v>
      </c>
      <c r="T32" s="104">
        <f t="shared" si="1"/>
        <v>3.1736490877242396</v>
      </c>
      <c r="U32" s="104">
        <f t="shared" si="2"/>
        <v>2.2820331201879318</v>
      </c>
    </row>
    <row r="33" spans="1:21">
      <c r="A33" s="7" t="s">
        <v>89</v>
      </c>
      <c r="B33" s="164">
        <v>94855</v>
      </c>
      <c r="C33" s="122">
        <f t="shared" si="8"/>
        <v>9.9271054247934254E-2</v>
      </c>
      <c r="D33" s="119">
        <v>27896</v>
      </c>
      <c r="E33" s="122">
        <f t="shared" si="9"/>
        <v>0.42595716403414619</v>
      </c>
      <c r="F33" s="7">
        <v>89283.724000000002</v>
      </c>
      <c r="G33" s="7">
        <v>23657.601999999999</v>
      </c>
      <c r="H33" s="165">
        <v>3.5619623959064484E-2</v>
      </c>
      <c r="I33" s="101">
        <f t="shared" si="7"/>
        <v>430684.01935195923</v>
      </c>
      <c r="J33" s="166">
        <v>0.59405399999999997</v>
      </c>
      <c r="K33" s="167">
        <f t="shared" si="3"/>
        <v>5.94054E-4</v>
      </c>
      <c r="L33" s="168">
        <v>0.6</v>
      </c>
      <c r="M33" s="104">
        <f t="shared" si="0"/>
        <v>6.5227935344280086</v>
      </c>
      <c r="N33" s="104">
        <f t="shared" si="4"/>
        <v>680.4766676449882</v>
      </c>
      <c r="O33" s="105">
        <v>657.76884171866334</v>
      </c>
      <c r="P33" s="105">
        <v>0.59184311330311379</v>
      </c>
      <c r="Q33" s="104">
        <f t="shared" si="5"/>
        <v>11.363397337488365</v>
      </c>
      <c r="R33" s="106">
        <f t="shared" si="6"/>
        <v>86111.421670454787</v>
      </c>
      <c r="S33" s="107">
        <v>86492.815062920359</v>
      </c>
      <c r="T33" s="104">
        <f t="shared" si="1"/>
        <v>3.6839507094488466</v>
      </c>
      <c r="U33" s="104">
        <f t="shared" si="2"/>
        <v>3.2267523435898893</v>
      </c>
    </row>
    <row r="34" spans="1:21">
      <c r="A34" s="7" t="s">
        <v>90</v>
      </c>
      <c r="B34" s="164">
        <v>83620</v>
      </c>
      <c r="C34" s="122">
        <f t="shared" si="8"/>
        <v>8.0850513798229162E-2</v>
      </c>
      <c r="D34" s="119">
        <v>20236</v>
      </c>
      <c r="E34" s="122">
        <f t="shared" si="9"/>
        <v>0.34244394321348026</v>
      </c>
      <c r="F34" s="7">
        <v>90018.323999999906</v>
      </c>
      <c r="G34" s="7">
        <v>20851.582999999999</v>
      </c>
      <c r="H34" s="165">
        <v>3.617728129029274E-2</v>
      </c>
      <c r="I34" s="101">
        <f t="shared" si="7"/>
        <v>435954.62543662952</v>
      </c>
      <c r="J34" s="166">
        <v>0.60059300000000004</v>
      </c>
      <c r="K34" s="167">
        <f t="shared" si="3"/>
        <v>6.0059300000000007E-4</v>
      </c>
      <c r="L34" s="168">
        <v>0.6</v>
      </c>
      <c r="M34" s="104">
        <f t="shared" ref="M34:M65" si="10">LN(F34)-L34*LN(J34)-(1-L34)*LN(I34)</f>
        <v>6.5195538169698111</v>
      </c>
      <c r="N34" s="104">
        <f t="shared" si="4"/>
        <v>678.27568271466021</v>
      </c>
      <c r="O34" s="105">
        <v>658.5930485903375</v>
      </c>
      <c r="P34" s="105">
        <v>0.59620053763928693</v>
      </c>
      <c r="Q34" s="104">
        <f t="shared" ref="Q34:Q65" si="11">LN(O34)+LN(P34)*L34+LN(I34)*(1-L34)</f>
        <v>11.373916276207957</v>
      </c>
      <c r="R34" s="106">
        <f t="shared" ref="R34:R65" si="12">EXP(Q34)</f>
        <v>87022.003217651451</v>
      </c>
      <c r="S34" s="107">
        <v>87331.851441675099</v>
      </c>
      <c r="T34" s="104">
        <f t="shared" ref="T34:T65" si="13">(F34/R34-1)*100</f>
        <v>3.4431760607191775</v>
      </c>
      <c r="U34" s="104">
        <f t="shared" ref="U34:U65" si="14">(F34/S34-1)*100</f>
        <v>3.0761658134764058</v>
      </c>
    </row>
    <row r="35" spans="1:21">
      <c r="A35" s="7" t="s">
        <v>91</v>
      </c>
      <c r="B35" s="164">
        <v>91196</v>
      </c>
      <c r="C35" s="122">
        <f t="shared" si="8"/>
        <v>9.0522086432449189E-2</v>
      </c>
      <c r="D35" s="119">
        <v>24764</v>
      </c>
      <c r="E35" s="122">
        <f t="shared" si="9"/>
        <v>1.0295033601049006</v>
      </c>
      <c r="F35" s="7">
        <v>91726.915999999997</v>
      </c>
      <c r="G35" s="7">
        <v>24944.616000000002</v>
      </c>
      <c r="H35" s="165">
        <v>3.617728129029274E-2</v>
      </c>
      <c r="I35" s="101">
        <f t="shared" si="7"/>
        <v>445127.58832240436</v>
      </c>
      <c r="J35" s="166">
        <v>0.60712500000000003</v>
      </c>
      <c r="K35" s="167">
        <f t="shared" si="3"/>
        <v>6.0712500000000003E-4</v>
      </c>
      <c r="L35" s="168">
        <v>0.6</v>
      </c>
      <c r="M35" s="104">
        <f t="shared" si="10"/>
        <v>6.5235369903666856</v>
      </c>
      <c r="N35" s="104">
        <f t="shared" si="4"/>
        <v>680.98276017011574</v>
      </c>
      <c r="O35" s="105">
        <v>659.02178718918276</v>
      </c>
      <c r="P35" s="105">
        <v>0.60052255901044971</v>
      </c>
      <c r="Q35" s="104">
        <f t="shared" si="11"/>
        <v>11.387230046421257</v>
      </c>
      <c r="R35" s="106">
        <f t="shared" si="12"/>
        <v>88188.341121049278</v>
      </c>
      <c r="S35" s="107">
        <v>88133.852884062682</v>
      </c>
      <c r="T35" s="104">
        <f t="shared" si="13"/>
        <v>4.0125200610062528</v>
      </c>
      <c r="U35" s="104">
        <f t="shared" si="14"/>
        <v>4.0768251907287834</v>
      </c>
    </row>
    <row r="36" spans="1:21">
      <c r="A36" s="7" t="s">
        <v>92</v>
      </c>
      <c r="B36" s="164">
        <v>92996</v>
      </c>
      <c r="C36" s="122">
        <f t="shared" si="8"/>
        <v>3.9770122653428608E-2</v>
      </c>
      <c r="D36" s="119">
        <v>20779</v>
      </c>
      <c r="E36" s="122">
        <f t="shared" si="9"/>
        <v>3.3801728716982282E-3</v>
      </c>
      <c r="F36" s="7">
        <v>91858.523000000001</v>
      </c>
      <c r="G36" s="7">
        <v>24344.686000000002</v>
      </c>
      <c r="H36" s="165">
        <v>3.617728129029274E-2</v>
      </c>
      <c r="I36" s="101">
        <f t="shared" si="7"/>
        <v>453368.76834959508</v>
      </c>
      <c r="J36" s="166">
        <v>0.61980199999999996</v>
      </c>
      <c r="K36" s="167">
        <f t="shared" si="3"/>
        <v>6.1980199999999992E-4</v>
      </c>
      <c r="L36" s="168">
        <v>0.6</v>
      </c>
      <c r="M36" s="104">
        <f t="shared" si="10"/>
        <v>6.5052335504201597</v>
      </c>
      <c r="N36" s="104">
        <f t="shared" si="4"/>
        <v>668.63181036058609</v>
      </c>
      <c r="O36" s="105">
        <v>659.07291858170368</v>
      </c>
      <c r="P36" s="105">
        <v>0.60478382651436435</v>
      </c>
      <c r="Q36" s="104">
        <f t="shared" si="11"/>
        <v>11.398888113510104</v>
      </c>
      <c r="R36" s="106">
        <f t="shared" si="12"/>
        <v>89222.462936734926</v>
      </c>
      <c r="S36" s="107">
        <v>88896.725726450182</v>
      </c>
      <c r="T36" s="104">
        <f t="shared" si="13"/>
        <v>2.9544802693176386</v>
      </c>
      <c r="U36" s="104">
        <f t="shared" si="14"/>
        <v>3.3317281928512799</v>
      </c>
    </row>
    <row r="37" spans="1:21">
      <c r="A37" s="7" t="s">
        <v>93</v>
      </c>
      <c r="B37" s="164">
        <v>96367</v>
      </c>
      <c r="C37" s="122">
        <f t="shared" si="8"/>
        <v>1.5940119129197239E-2</v>
      </c>
      <c r="D37" s="119">
        <v>27050</v>
      </c>
      <c r="E37" s="122">
        <f t="shared" si="9"/>
        <v>-3.0326928591912772E-2</v>
      </c>
      <c r="F37" s="7">
        <v>91080.034</v>
      </c>
      <c r="G37" s="7">
        <v>22653.378000000001</v>
      </c>
      <c r="H37" s="165">
        <v>3.617728129029274E-2</v>
      </c>
      <c r="I37" s="101">
        <f t="shared" si="7"/>
        <v>459620.49688877823</v>
      </c>
      <c r="J37" s="166">
        <v>0.608541</v>
      </c>
      <c r="K37" s="167">
        <f t="shared" si="3"/>
        <v>6.0854099999999999E-4</v>
      </c>
      <c r="L37" s="168">
        <v>0.6</v>
      </c>
      <c r="M37" s="104">
        <f t="shared" si="10"/>
        <v>6.502245919011699</v>
      </c>
      <c r="N37" s="104">
        <f t="shared" si="4"/>
        <v>666.63716607788376</v>
      </c>
      <c r="O37" s="105">
        <v>658.77802944251778</v>
      </c>
      <c r="P37" s="105">
        <v>0.60896311577441142</v>
      </c>
      <c r="Q37" s="104">
        <f t="shared" si="11"/>
        <v>11.408050669864936</v>
      </c>
      <c r="R37" s="106">
        <f t="shared" si="12"/>
        <v>90043.725468047662</v>
      </c>
      <c r="S37" s="107">
        <v>89620.621969652144</v>
      </c>
      <c r="T37" s="104">
        <f t="shared" si="13"/>
        <v>1.1508947753611887</v>
      </c>
      <c r="U37" s="104">
        <f t="shared" si="14"/>
        <v>1.6284332760400311</v>
      </c>
    </row>
    <row r="38" spans="1:21">
      <c r="A38" s="7" t="s">
        <v>94</v>
      </c>
      <c r="B38" s="164">
        <v>86104</v>
      </c>
      <c r="C38" s="122">
        <f t="shared" si="8"/>
        <v>2.9705812006696863E-2</v>
      </c>
      <c r="D38" s="119">
        <v>27871</v>
      </c>
      <c r="E38" s="122">
        <f t="shared" si="9"/>
        <v>0.37729788495750149</v>
      </c>
      <c r="F38" s="7">
        <v>90859.040999999997</v>
      </c>
      <c r="G38" s="7">
        <v>28329.859</v>
      </c>
      <c r="H38" s="165">
        <v>3.6745592951774597E-2</v>
      </c>
      <c r="I38" s="101">
        <f t="shared" si="7"/>
        <v>471061.3281978108</v>
      </c>
      <c r="J38" s="166">
        <v>0.61818899999999999</v>
      </c>
      <c r="K38" s="167">
        <f t="shared" si="3"/>
        <v>6.18189E-4</v>
      </c>
      <c r="L38" s="168">
        <v>0.6</v>
      </c>
      <c r="M38" s="104">
        <f t="shared" si="10"/>
        <v>6.4805437811761601</v>
      </c>
      <c r="N38" s="104">
        <f t="shared" si="4"/>
        <v>652.32557220987428</v>
      </c>
      <c r="O38" s="105">
        <v>658.17468075360432</v>
      </c>
      <c r="P38" s="105">
        <v>0.61304858877240009</v>
      </c>
      <c r="Q38" s="104">
        <f t="shared" si="11"/>
        <v>11.420981148197118</v>
      </c>
      <c r="R38" s="106">
        <f t="shared" si="12"/>
        <v>91215.593991715243</v>
      </c>
      <c r="S38" s="107">
        <v>90307.54473777907</v>
      </c>
      <c r="T38" s="104">
        <f t="shared" si="13"/>
        <v>-0.39089039067994324</v>
      </c>
      <c r="U38" s="104">
        <f t="shared" si="14"/>
        <v>0.61068680786557916</v>
      </c>
    </row>
    <row r="39" spans="1:21">
      <c r="A39" s="7" t="s">
        <v>95</v>
      </c>
      <c r="B39" s="164">
        <v>89708</v>
      </c>
      <c r="C39" s="122">
        <f t="shared" si="8"/>
        <v>-1.6316505109873258E-2</v>
      </c>
      <c r="D39" s="119">
        <v>22763</v>
      </c>
      <c r="E39" s="122">
        <f t="shared" si="9"/>
        <v>-8.0802778226457761E-2</v>
      </c>
      <c r="F39" s="7">
        <v>91064.790999999997</v>
      </c>
      <c r="G39" s="7">
        <v>23241.116999999998</v>
      </c>
      <c r="H39" s="165">
        <v>3.6745592951774597E-2</v>
      </c>
      <c r="I39" s="101">
        <f t="shared" si="7"/>
        <v>476993.01737653173</v>
      </c>
      <c r="J39" s="166">
        <v>0.63615600000000005</v>
      </c>
      <c r="K39" s="167">
        <f t="shared" si="3"/>
        <v>6.3615600000000003E-4</v>
      </c>
      <c r="L39" s="168">
        <v>0.6</v>
      </c>
      <c r="M39" s="104">
        <f t="shared" si="10"/>
        <v>6.4606105463302264</v>
      </c>
      <c r="N39" s="104">
        <f t="shared" si="4"/>
        <v>639.45135208705574</v>
      </c>
      <c r="O39" s="105">
        <v>657.30534545733963</v>
      </c>
      <c r="P39" s="105">
        <v>0.61702814366778025</v>
      </c>
      <c r="Q39" s="104">
        <f t="shared" si="11"/>
        <v>11.428547134703489</v>
      </c>
      <c r="R39" s="106">
        <f t="shared" si="12"/>
        <v>91908.347321530106</v>
      </c>
      <c r="S39" s="107">
        <v>90960.409287460425</v>
      </c>
      <c r="T39" s="104">
        <f t="shared" si="13"/>
        <v>-0.91782340354682468</v>
      </c>
      <c r="U39" s="104">
        <f t="shared" si="14"/>
        <v>0.11475510428904379</v>
      </c>
    </row>
    <row r="40" spans="1:21">
      <c r="A40" s="7" t="s">
        <v>96</v>
      </c>
      <c r="B40" s="164">
        <v>89512</v>
      </c>
      <c r="C40" s="122">
        <f t="shared" si="8"/>
        <v>-3.7463976945244948E-2</v>
      </c>
      <c r="D40" s="119">
        <v>13576</v>
      </c>
      <c r="E40" s="122">
        <f t="shared" si="9"/>
        <v>-0.34664805813561772</v>
      </c>
      <c r="F40" s="7">
        <v>90050.447</v>
      </c>
      <c r="G40" s="7">
        <v>17133.578000000001</v>
      </c>
      <c r="H40" s="165">
        <v>3.6745592951774597E-2</v>
      </c>
      <c r="I40" s="101">
        <f t="shared" si="7"/>
        <v>476599.20411917492</v>
      </c>
      <c r="J40" s="166">
        <v>0.64254100000000003</v>
      </c>
      <c r="K40" s="167">
        <f t="shared" si="3"/>
        <v>6.4254100000000005E-4</v>
      </c>
      <c r="L40" s="168">
        <v>0.6</v>
      </c>
      <c r="M40" s="104">
        <f t="shared" si="10"/>
        <v>6.4437476356195091</v>
      </c>
      <c r="N40" s="104">
        <f t="shared" si="4"/>
        <v>628.75874861761088</v>
      </c>
      <c r="O40" s="105">
        <v>656.20884080326016</v>
      </c>
      <c r="P40" s="105">
        <v>0.6208928913770192</v>
      </c>
      <c r="Q40" s="104">
        <f t="shared" si="11"/>
        <v>11.430293548908621</v>
      </c>
      <c r="R40" s="106">
        <f t="shared" si="12"/>
        <v>92068.997604999677</v>
      </c>
      <c r="S40" s="107">
        <v>91582.475560489547</v>
      </c>
      <c r="T40" s="104">
        <f t="shared" si="13"/>
        <v>-2.1924324772816473</v>
      </c>
      <c r="U40" s="104">
        <f t="shared" si="14"/>
        <v>-1.6728403017208793</v>
      </c>
    </row>
    <row r="41" spans="1:21">
      <c r="A41" s="7" t="s">
        <v>97</v>
      </c>
      <c r="B41" s="164">
        <v>97549</v>
      </c>
      <c r="C41" s="122">
        <f t="shared" si="8"/>
        <v>1.2265609596646243E-2</v>
      </c>
      <c r="D41" s="119">
        <v>28070</v>
      </c>
      <c r="E41" s="122">
        <f t="shared" si="9"/>
        <v>3.7707948243992595E-2</v>
      </c>
      <c r="F41" s="7">
        <v>92857.063999999998</v>
      </c>
      <c r="G41" s="7">
        <v>23435.721000000001</v>
      </c>
      <c r="H41" s="165">
        <v>3.6745592951774597E-2</v>
      </c>
      <c r="I41" s="101">
        <f t="shared" si="7"/>
        <v>482522.00476347201</v>
      </c>
      <c r="J41" s="166">
        <v>0.62272000000000005</v>
      </c>
      <c r="K41" s="167">
        <f t="shared" si="3"/>
        <v>6.2272E-4</v>
      </c>
      <c r="L41" s="168">
        <v>0.6</v>
      </c>
      <c r="M41" s="104">
        <f t="shared" si="10"/>
        <v>6.4882989014606371</v>
      </c>
      <c r="N41" s="104">
        <f t="shared" si="4"/>
        <v>657.40410234034232</v>
      </c>
      <c r="O41" s="105">
        <v>654.9128252950461</v>
      </c>
      <c r="P41" s="105">
        <v>0.62464589772679191</v>
      </c>
      <c r="Q41" s="104">
        <f t="shared" si="11"/>
        <v>11.436872645340291</v>
      </c>
      <c r="R41" s="106">
        <f t="shared" si="12"/>
        <v>92676.725376317714</v>
      </c>
      <c r="S41" s="107">
        <v>92177.068737230147</v>
      </c>
      <c r="T41" s="104">
        <f t="shared" si="13"/>
        <v>0.19458890347066049</v>
      </c>
      <c r="U41" s="104">
        <f t="shared" si="14"/>
        <v>0.73770545330349435</v>
      </c>
    </row>
    <row r="42" spans="1:21">
      <c r="A42" s="7" t="s">
        <v>98</v>
      </c>
      <c r="B42" s="164">
        <v>90878</v>
      </c>
      <c r="C42" s="122">
        <f t="shared" si="8"/>
        <v>5.5444578649075593E-2</v>
      </c>
      <c r="D42" s="119">
        <v>18500</v>
      </c>
      <c r="E42" s="122">
        <f t="shared" si="9"/>
        <v>-0.3362276201069212</v>
      </c>
      <c r="F42" s="7">
        <v>93680.103000000003</v>
      </c>
      <c r="G42" s="7">
        <v>19016.317999999999</v>
      </c>
      <c r="H42" s="165">
        <v>3.7041850388050079E-2</v>
      </c>
      <c r="I42" s="101">
        <f t="shared" si="7"/>
        <v>483664.81485408149</v>
      </c>
      <c r="J42" s="166">
        <v>0.61596200000000001</v>
      </c>
      <c r="K42" s="167">
        <f t="shared" si="3"/>
        <v>6.1596200000000006E-4</v>
      </c>
      <c r="L42" s="168">
        <v>0.6</v>
      </c>
      <c r="M42" s="104">
        <f t="shared" si="10"/>
        <v>6.5027241353584841</v>
      </c>
      <c r="N42" s="104">
        <f t="shared" si="4"/>
        <v>666.95603910714726</v>
      </c>
      <c r="O42" s="105">
        <v>653.42780112876153</v>
      </c>
      <c r="P42" s="105">
        <v>0.62830375861166277</v>
      </c>
      <c r="Q42" s="104">
        <f t="shared" si="11"/>
        <v>11.439052090027168</v>
      </c>
      <c r="R42" s="106">
        <f t="shared" si="12"/>
        <v>92878.929439282932</v>
      </c>
      <c r="S42" s="107">
        <v>92746.556480195606</v>
      </c>
      <c r="T42" s="104">
        <f t="shared" si="13"/>
        <v>0.86259990888548632</v>
      </c>
      <c r="U42" s="104">
        <f t="shared" si="14"/>
        <v>1.006556529140501</v>
      </c>
    </row>
    <row r="43" spans="1:21">
      <c r="A43" s="7" t="s">
        <v>99</v>
      </c>
      <c r="B43" s="164">
        <v>91270</v>
      </c>
      <c r="C43" s="122">
        <f t="shared" si="8"/>
        <v>1.7412047977883871E-2</v>
      </c>
      <c r="D43" s="119">
        <v>20809</v>
      </c>
      <c r="E43" s="122">
        <f t="shared" si="9"/>
        <v>-8.5841057857048764E-2</v>
      </c>
      <c r="F43" s="7">
        <v>92886.164000000004</v>
      </c>
      <c r="G43" s="7">
        <v>21615.471000000001</v>
      </c>
      <c r="H43" s="165">
        <v>3.7041850388050079E-2</v>
      </c>
      <c r="I43" s="101">
        <f t="shared" si="7"/>
        <v>487364.44614429265</v>
      </c>
      <c r="J43" s="166">
        <v>0.62712900000000005</v>
      </c>
      <c r="K43" s="167">
        <f t="shared" si="3"/>
        <v>6.2712900000000003E-4</v>
      </c>
      <c r="L43" s="168">
        <v>0.6</v>
      </c>
      <c r="M43" s="104">
        <f t="shared" si="10"/>
        <v>6.4803848014774204</v>
      </c>
      <c r="N43" s="104">
        <f t="shared" si="4"/>
        <v>652.22187393010313</v>
      </c>
      <c r="O43" s="105">
        <v>651.76582754862386</v>
      </c>
      <c r="P43" s="105">
        <v>0.63188186624011689</v>
      </c>
      <c r="Q43" s="104">
        <f t="shared" si="11"/>
        <v>11.442960632149028</v>
      </c>
      <c r="R43" s="106">
        <f t="shared" si="12"/>
        <v>93242.661014269077</v>
      </c>
      <c r="S43" s="107">
        <v>93293.731448938561</v>
      </c>
      <c r="T43" s="104">
        <f t="shared" si="13"/>
        <v>-0.38233251860381179</v>
      </c>
      <c r="U43" s="104">
        <f t="shared" si="14"/>
        <v>-0.43686477387993028</v>
      </c>
    </row>
    <row r="44" spans="1:21">
      <c r="A44" s="7" t="s">
        <v>100</v>
      </c>
      <c r="B44" s="164">
        <v>97119</v>
      </c>
      <c r="C44" s="122">
        <f t="shared" si="8"/>
        <v>8.4983019036553697E-2</v>
      </c>
      <c r="D44" s="119">
        <v>21342</v>
      </c>
      <c r="E44" s="122">
        <f t="shared" si="9"/>
        <v>0.57203889216264003</v>
      </c>
      <c r="F44" s="7">
        <v>95663.659</v>
      </c>
      <c r="G44" s="7">
        <v>24654.826000000001</v>
      </c>
      <c r="H44" s="165">
        <v>3.7041850388050079E-2</v>
      </c>
      <c r="I44" s="101">
        <f t="shared" si="7"/>
        <v>493966.3912457609</v>
      </c>
      <c r="J44" s="166">
        <v>0.64877300000000004</v>
      </c>
      <c r="K44" s="167">
        <f t="shared" si="3"/>
        <v>6.4877300000000006E-4</v>
      </c>
      <c r="L44" s="168">
        <v>0.6</v>
      </c>
      <c r="M44" s="104">
        <f t="shared" si="10"/>
        <v>6.4841080979809513</v>
      </c>
      <c r="N44" s="104">
        <f t="shared" si="4"/>
        <v>654.65481582421467</v>
      </c>
      <c r="O44" s="105">
        <v>649.94741894758715</v>
      </c>
      <c r="P44" s="105">
        <v>0.63538789922150718</v>
      </c>
      <c r="Q44" s="104">
        <f t="shared" si="11"/>
        <v>11.448868808661452</v>
      </c>
      <c r="R44" s="106">
        <f t="shared" si="12"/>
        <v>93795.185713528204</v>
      </c>
      <c r="S44" s="107">
        <v>93821.969769586518</v>
      </c>
      <c r="T44" s="104">
        <f t="shared" si="13"/>
        <v>1.9920780285872519</v>
      </c>
      <c r="U44" s="104">
        <f t="shared" si="14"/>
        <v>1.9629615909113829</v>
      </c>
    </row>
    <row r="45" spans="1:21">
      <c r="A45" s="7" t="s">
        <v>101</v>
      </c>
      <c r="B45" s="164">
        <v>95795</v>
      </c>
      <c r="C45" s="122">
        <f t="shared" si="8"/>
        <v>-1.7980707131800444E-2</v>
      </c>
      <c r="D45" s="119">
        <v>28116</v>
      </c>
      <c r="E45" s="122">
        <f t="shared" si="9"/>
        <v>1.6387602422516245E-3</v>
      </c>
      <c r="F45" s="7">
        <v>93793.774000000005</v>
      </c>
      <c r="G45" s="7">
        <v>23370.639999999999</v>
      </c>
      <c r="H45" s="165">
        <v>3.7041850388050079E-2</v>
      </c>
      <c r="I45" s="101">
        <f t="shared" si="7"/>
        <v>499039.60208451044</v>
      </c>
      <c r="J45" s="166">
        <v>0.65955699999999995</v>
      </c>
      <c r="K45" s="167">
        <f t="shared" si="3"/>
        <v>6.5955699999999996E-4</v>
      </c>
      <c r="L45" s="168">
        <v>0.6</v>
      </c>
      <c r="M45" s="104">
        <f t="shared" si="10"/>
        <v>6.4503895926010468</v>
      </c>
      <c r="N45" s="104">
        <f t="shared" si="4"/>
        <v>632.94883696696922</v>
      </c>
      <c r="O45" s="105">
        <v>647.99337474759386</v>
      </c>
      <c r="P45" s="105">
        <v>0.63882656562378659</v>
      </c>
      <c r="Q45" s="104">
        <f t="shared" si="11"/>
        <v>11.453183399890637</v>
      </c>
      <c r="R45" s="106">
        <f t="shared" si="12"/>
        <v>94200.747887495265</v>
      </c>
      <c r="S45" s="107">
        <v>94334.392838611413</v>
      </c>
      <c r="T45" s="104">
        <f t="shared" si="13"/>
        <v>-0.43202829767478024</v>
      </c>
      <c r="U45" s="104">
        <f t="shared" si="14"/>
        <v>-0.57308773856880046</v>
      </c>
    </row>
    <row r="46" spans="1:21">
      <c r="A46" s="7" t="s">
        <v>102</v>
      </c>
      <c r="B46" s="164">
        <v>91638</v>
      </c>
      <c r="C46" s="122">
        <f t="shared" si="8"/>
        <v>8.3628600981535683E-3</v>
      </c>
      <c r="D46" s="119">
        <v>28383</v>
      </c>
      <c r="E46" s="122">
        <f t="shared" si="9"/>
        <v>0.53421621621621629</v>
      </c>
      <c r="F46" s="7">
        <v>95411.384999999995</v>
      </c>
      <c r="G46" s="7">
        <v>28903.742999999999</v>
      </c>
      <c r="H46" s="165">
        <v>3.7157196551561356E-2</v>
      </c>
      <c r="I46" s="101">
        <f t="shared" si="7"/>
        <v>509400.43250284332</v>
      </c>
      <c r="J46" s="166">
        <v>0.64957500000000001</v>
      </c>
      <c r="K46" s="167">
        <f t="shared" si="3"/>
        <v>6.49575E-4</v>
      </c>
      <c r="L46" s="168">
        <v>0.6</v>
      </c>
      <c r="M46" s="104">
        <f t="shared" si="10"/>
        <v>6.4684194993684443</v>
      </c>
      <c r="N46" s="104">
        <f t="shared" si="4"/>
        <v>644.46434530581246</v>
      </c>
      <c r="O46" s="105">
        <v>645.92743649363433</v>
      </c>
      <c r="P46" s="105">
        <v>0.64221093920289452</v>
      </c>
      <c r="Q46" s="104">
        <f t="shared" si="11"/>
        <v>11.461379968179603</v>
      </c>
      <c r="R46" s="106">
        <f t="shared" si="12"/>
        <v>94976.043792741402</v>
      </c>
      <c r="S46" s="107">
        <v>94835.273108254187</v>
      </c>
      <c r="T46" s="104">
        <f t="shared" si="13"/>
        <v>0.45836948968795976</v>
      </c>
      <c r="U46" s="104">
        <f t="shared" si="14"/>
        <v>0.60748693272405507</v>
      </c>
    </row>
    <row r="47" spans="1:21">
      <c r="A47" s="7" t="s">
        <v>103</v>
      </c>
      <c r="B47" s="164">
        <v>96665</v>
      </c>
      <c r="C47" s="122">
        <f t="shared" si="8"/>
        <v>5.9110331982031417E-2</v>
      </c>
      <c r="D47" s="119">
        <v>21412</v>
      </c>
      <c r="E47" s="122">
        <f t="shared" si="9"/>
        <v>2.8977846124273121E-2</v>
      </c>
      <c r="F47" s="7">
        <v>96250.036999999997</v>
      </c>
      <c r="G47" s="7">
        <v>22511.743999999999</v>
      </c>
      <c r="H47" s="165">
        <v>3.7157196551561356E-2</v>
      </c>
      <c r="I47" s="101">
        <f t="shared" si="7"/>
        <v>512984.28450888483</v>
      </c>
      <c r="J47" s="166">
        <v>0.64280899999999996</v>
      </c>
      <c r="K47" s="167">
        <f t="shared" si="3"/>
        <v>6.4280899999999994E-4</v>
      </c>
      <c r="L47" s="168">
        <v>0.6</v>
      </c>
      <c r="M47" s="104">
        <f t="shared" si="10"/>
        <v>6.4806490272696626</v>
      </c>
      <c r="N47" s="104">
        <f t="shared" si="4"/>
        <v>652.39423054098825</v>
      </c>
      <c r="O47" s="105">
        <v>643.76394289458608</v>
      </c>
      <c r="P47" s="105">
        <v>0.6455670502362556</v>
      </c>
      <c r="Q47" s="104">
        <f t="shared" si="11"/>
        <v>11.463956585833673</v>
      </c>
      <c r="R47" s="106">
        <f t="shared" si="12"/>
        <v>95221.076285851886</v>
      </c>
      <c r="S47" s="107">
        <v>95328.545143981653</v>
      </c>
      <c r="T47" s="104">
        <f t="shared" si="13"/>
        <v>1.0806018523243699</v>
      </c>
      <c r="U47" s="104">
        <f t="shared" si="14"/>
        <v>0.96664839962317117</v>
      </c>
    </row>
    <row r="48" spans="1:21">
      <c r="A48" s="7" t="s">
        <v>104</v>
      </c>
      <c r="B48" s="164">
        <v>96417</v>
      </c>
      <c r="C48" s="122">
        <f t="shared" si="8"/>
        <v>-7.2282457603558559E-3</v>
      </c>
      <c r="D48" s="119">
        <v>24394</v>
      </c>
      <c r="E48" s="122">
        <f t="shared" si="9"/>
        <v>0.14300440446068774</v>
      </c>
      <c r="F48" s="7">
        <v>95410.034</v>
      </c>
      <c r="G48" s="7">
        <v>27518.837</v>
      </c>
      <c r="H48" s="165">
        <v>3.7157196551561356E-2</v>
      </c>
      <c r="I48" s="101">
        <f t="shared" si="7"/>
        <v>521442.06362152612</v>
      </c>
      <c r="J48" s="166">
        <v>0.648617</v>
      </c>
      <c r="K48" s="167">
        <f t="shared" si="3"/>
        <v>6.4861699999999999E-4</v>
      </c>
      <c r="L48" s="168">
        <v>0.6</v>
      </c>
      <c r="M48" s="104">
        <f t="shared" si="10"/>
        <v>6.459945374551725</v>
      </c>
      <c r="N48" s="104">
        <f t="shared" si="4"/>
        <v>639.02614852630506</v>
      </c>
      <c r="O48" s="105">
        <v>641.5163182273343</v>
      </c>
      <c r="P48" s="105">
        <v>0.64892553153929255</v>
      </c>
      <c r="Q48" s="104">
        <f t="shared" si="11"/>
        <v>11.470113614634331</v>
      </c>
      <c r="R48" s="106">
        <f t="shared" si="12"/>
        <v>95809.163772954824</v>
      </c>
      <c r="S48" s="107">
        <v>95818.50358119297</v>
      </c>
      <c r="T48" s="104">
        <f t="shared" si="13"/>
        <v>-0.4165883066265641</v>
      </c>
      <c r="U48" s="104">
        <f t="shared" si="14"/>
        <v>-0.42629509533808063</v>
      </c>
    </row>
    <row r="49" spans="1:21">
      <c r="A49" s="7" t="s">
        <v>105</v>
      </c>
      <c r="B49" s="164">
        <v>99117</v>
      </c>
      <c r="C49" s="122">
        <f t="shared" si="8"/>
        <v>3.4678219113732478E-2</v>
      </c>
      <c r="D49" s="119">
        <v>30492</v>
      </c>
      <c r="E49" s="122">
        <f t="shared" si="9"/>
        <v>8.4507042253521236E-2</v>
      </c>
      <c r="F49" s="7">
        <v>96667.978000000003</v>
      </c>
      <c r="G49" s="7">
        <v>25582.664000000001</v>
      </c>
      <c r="H49" s="165">
        <v>3.7157196551561356E-2</v>
      </c>
      <c r="I49" s="101">
        <f t="shared" si="7"/>
        <v>527649.40237328934</v>
      </c>
      <c r="J49" s="166">
        <v>0.63934000000000002</v>
      </c>
      <c r="K49" s="167">
        <f t="shared" si="3"/>
        <v>6.3934000000000007E-4</v>
      </c>
      <c r="L49" s="168">
        <v>0.6</v>
      </c>
      <c r="M49" s="104">
        <f t="shared" si="10"/>
        <v>6.4769538769676966</v>
      </c>
      <c r="N49" s="104">
        <f t="shared" si="4"/>
        <v>649.98798426177029</v>
      </c>
      <c r="O49" s="105">
        <v>639.20338069854313</v>
      </c>
      <c r="P49" s="105">
        <v>0.65231529214603057</v>
      </c>
      <c r="Q49" s="104">
        <f t="shared" si="11"/>
        <v>11.47436126176434</v>
      </c>
      <c r="R49" s="106">
        <f t="shared" si="12"/>
        <v>96216.992836270772</v>
      </c>
      <c r="S49" s="107">
        <v>96310.018987697316</v>
      </c>
      <c r="T49" s="104">
        <f t="shared" si="13"/>
        <v>0.46871675203636887</v>
      </c>
      <c r="U49" s="104">
        <f t="shared" si="14"/>
        <v>0.3716737013087057</v>
      </c>
    </row>
    <row r="50" spans="1:21">
      <c r="A50" s="7" t="s">
        <v>106</v>
      </c>
      <c r="B50" s="164">
        <v>90713</v>
      </c>
      <c r="C50" s="122">
        <f t="shared" si="8"/>
        <v>-1.0094065780571371E-2</v>
      </c>
      <c r="D50" s="119">
        <v>28273</v>
      </c>
      <c r="E50" s="122">
        <f t="shared" si="9"/>
        <v>-3.875559313673671E-3</v>
      </c>
      <c r="F50" s="7">
        <v>95284.297000000006</v>
      </c>
      <c r="G50" s="7">
        <v>28994.116000000002</v>
      </c>
      <c r="H50" s="165">
        <v>3.7281032651662827E-2</v>
      </c>
      <c r="I50" s="101">
        <f t="shared" si="7"/>
        <v>536972.20377478038</v>
      </c>
      <c r="J50" s="166">
        <v>0.64366800000000002</v>
      </c>
      <c r="K50" s="167">
        <f t="shared" si="3"/>
        <v>6.4366800000000002E-4</v>
      </c>
      <c r="L50" s="168">
        <v>0.6</v>
      </c>
      <c r="M50" s="104">
        <f t="shared" si="10"/>
        <v>6.4514829858865834</v>
      </c>
      <c r="N50" s="104">
        <f t="shared" si="4"/>
        <v>633.64127746130578</v>
      </c>
      <c r="O50" s="105">
        <v>636.84239215881348</v>
      </c>
      <c r="P50" s="105">
        <v>0.65576504825828275</v>
      </c>
      <c r="Q50" s="104">
        <f t="shared" si="11"/>
        <v>11.480831219551952</v>
      </c>
      <c r="R50" s="106">
        <f t="shared" si="12"/>
        <v>96841.530907236491</v>
      </c>
      <c r="S50" s="107">
        <v>96807.706637815601</v>
      </c>
      <c r="T50" s="104">
        <f t="shared" si="13"/>
        <v>-1.6080228107175909</v>
      </c>
      <c r="U50" s="104">
        <f t="shared" si="14"/>
        <v>-1.5736450027838078</v>
      </c>
    </row>
    <row r="51" spans="1:21">
      <c r="A51" s="7" t="s">
        <v>107</v>
      </c>
      <c r="B51" s="164">
        <v>97105</v>
      </c>
      <c r="C51" s="122">
        <f t="shared" si="8"/>
        <v>4.5518026172866044E-3</v>
      </c>
      <c r="D51" s="119">
        <v>27353</v>
      </c>
      <c r="E51" s="122">
        <f t="shared" si="9"/>
        <v>0.27746123668970668</v>
      </c>
      <c r="F51" s="7">
        <v>95894.523000000001</v>
      </c>
      <c r="G51" s="7">
        <v>28553.921999999999</v>
      </c>
      <c r="H51" s="165">
        <v>3.7281032651662827E-2</v>
      </c>
      <c r="I51" s="101">
        <f t="shared" si="7"/>
        <v>545507.2475128175</v>
      </c>
      <c r="J51" s="166">
        <v>0.6482</v>
      </c>
      <c r="K51" s="167">
        <f t="shared" si="3"/>
        <v>6.4820000000000003E-4</v>
      </c>
      <c r="L51" s="168">
        <v>0.6</v>
      </c>
      <c r="M51" s="104">
        <f t="shared" si="10"/>
        <v>6.4473491925641921</v>
      </c>
      <c r="N51" s="104">
        <f t="shared" si="4"/>
        <v>631.02734183685664</v>
      </c>
      <c r="O51" s="105">
        <v>634.45735483597332</v>
      </c>
      <c r="P51" s="105">
        <v>0.65929540652027085</v>
      </c>
      <c r="Q51" s="104">
        <f t="shared" si="11"/>
        <v>11.486608474245335</v>
      </c>
      <c r="R51" s="106">
        <f t="shared" si="12"/>
        <v>97402.62833693478</v>
      </c>
      <c r="S51" s="107">
        <v>97316.405530251446</v>
      </c>
      <c r="T51" s="104">
        <f t="shared" si="13"/>
        <v>-1.5483209875178594</v>
      </c>
      <c r="U51" s="104">
        <f t="shared" si="14"/>
        <v>-1.4610923230301998</v>
      </c>
    </row>
    <row r="52" spans="1:21">
      <c r="A52" s="7" t="s">
        <v>108</v>
      </c>
      <c r="B52" s="164">
        <v>96710</v>
      </c>
      <c r="C52" s="122">
        <f t="shared" si="8"/>
        <v>3.0388831845007402E-3</v>
      </c>
      <c r="D52" s="119">
        <v>26566</v>
      </c>
      <c r="E52" s="122">
        <f t="shared" si="9"/>
        <v>8.9038288103632013E-2</v>
      </c>
      <c r="F52" s="7">
        <v>95829.338000000003</v>
      </c>
      <c r="G52" s="7">
        <v>29578.044999999998</v>
      </c>
      <c r="H52" s="165">
        <v>3.7281032651662827E-2</v>
      </c>
      <c r="I52" s="101">
        <f t="shared" si="7"/>
        <v>554748.21900657343</v>
      </c>
      <c r="J52" s="166">
        <v>0.65249800000000002</v>
      </c>
      <c r="K52" s="167">
        <f t="shared" si="3"/>
        <v>6.5249800000000005E-4</v>
      </c>
      <c r="L52" s="168">
        <v>0.6</v>
      </c>
      <c r="M52" s="104">
        <f t="shared" si="10"/>
        <v>6.4359846300634809</v>
      </c>
      <c r="N52" s="104">
        <f t="shared" si="4"/>
        <v>623.89658786700181</v>
      </c>
      <c r="O52" s="105">
        <v>632.07027026116464</v>
      </c>
      <c r="P52" s="105">
        <v>0.66291941292105527</v>
      </c>
      <c r="Q52" s="104">
        <f t="shared" si="11"/>
        <v>11.492847320033086</v>
      </c>
      <c r="R52" s="106">
        <f t="shared" si="12"/>
        <v>98012.207873582025</v>
      </c>
      <c r="S52" s="107">
        <v>97840.002532684812</v>
      </c>
      <c r="T52" s="104">
        <f t="shared" si="13"/>
        <v>-2.2271408031104944</v>
      </c>
      <c r="U52" s="104">
        <f t="shared" si="14"/>
        <v>-2.0550536392444529</v>
      </c>
    </row>
    <row r="53" spans="1:21">
      <c r="A53" s="7" t="s">
        <v>109</v>
      </c>
      <c r="B53" s="164">
        <v>97558</v>
      </c>
      <c r="C53" s="122">
        <f t="shared" si="8"/>
        <v>-1.5728886063944625E-2</v>
      </c>
      <c r="D53" s="119">
        <v>33148</v>
      </c>
      <c r="E53" s="122">
        <f t="shared" si="9"/>
        <v>8.7104814377541695E-2</v>
      </c>
      <c r="F53" s="7">
        <v>96623.188999999998</v>
      </c>
      <c r="G53" s="7">
        <v>27974.598999999998</v>
      </c>
      <c r="H53" s="165">
        <v>3.7281032651662827E-2</v>
      </c>
      <c r="I53" s="101">
        <f t="shared" si="7"/>
        <v>562041.23154033767</v>
      </c>
      <c r="J53" s="166">
        <v>0.65784900000000002</v>
      </c>
      <c r="K53" s="167">
        <f t="shared" si="3"/>
        <v>6.5784900000000006E-4</v>
      </c>
      <c r="L53" s="168">
        <v>0.6</v>
      </c>
      <c r="M53" s="104">
        <f t="shared" si="10"/>
        <v>6.4341097607515847</v>
      </c>
      <c r="N53" s="104">
        <f t="shared" si="4"/>
        <v>622.72795915599079</v>
      </c>
      <c r="O53" s="105">
        <v>629.70099620740496</v>
      </c>
      <c r="P53" s="105">
        <v>0.66664317882062107</v>
      </c>
      <c r="Q53" s="104">
        <f t="shared" si="11"/>
        <v>11.497677089995593</v>
      </c>
      <c r="R53" s="106">
        <f t="shared" si="12"/>
        <v>98486.729283337569</v>
      </c>
      <c r="S53" s="107">
        <v>98381.49583621425</v>
      </c>
      <c r="T53" s="104">
        <f t="shared" si="13"/>
        <v>-1.8921739983631003</v>
      </c>
      <c r="U53" s="104">
        <f t="shared" si="14"/>
        <v>-1.7872332812884695</v>
      </c>
    </row>
    <row r="54" spans="1:21">
      <c r="A54" s="7" t="s">
        <v>110</v>
      </c>
      <c r="B54" s="164">
        <v>93617</v>
      </c>
      <c r="C54" s="122">
        <f>B54/B50-1</f>
        <v>3.2013052153495147E-2</v>
      </c>
      <c r="D54" s="119">
        <v>21986</v>
      </c>
      <c r="E54" s="122">
        <f t="shared" si="9"/>
        <v>-0.22236762989424541</v>
      </c>
      <c r="F54" s="7">
        <v>97582.33</v>
      </c>
      <c r="G54" s="7">
        <v>22963.621999999999</v>
      </c>
      <c r="H54" s="165">
        <v>3.7492867559194565E-2</v>
      </c>
      <c r="I54" s="101">
        <f t="shared" si="7"/>
        <v>563932.3160833891</v>
      </c>
      <c r="J54" s="166">
        <v>0.66895700000000002</v>
      </c>
      <c r="K54" s="167">
        <f t="shared" si="3"/>
        <v>6.6895699999999997E-4</v>
      </c>
      <c r="L54" s="168">
        <v>0.6</v>
      </c>
      <c r="M54" s="104">
        <f t="shared" si="10"/>
        <v>6.4325972019690063</v>
      </c>
      <c r="N54" s="104">
        <f t="shared" si="4"/>
        <v>621.7867585023123</v>
      </c>
      <c r="O54" s="105">
        <v>627.3642818962154</v>
      </c>
      <c r="P54" s="105">
        <v>0.67046630219587766</v>
      </c>
      <c r="Q54" s="104">
        <f t="shared" si="11"/>
        <v>11.498734069167682</v>
      </c>
      <c r="R54" s="106">
        <f t="shared" si="12"/>
        <v>98590.88273923732</v>
      </c>
      <c r="S54" s="107">
        <v>98942.626966605385</v>
      </c>
      <c r="T54" s="104">
        <f t="shared" si="13"/>
        <v>-1.022967551578613</v>
      </c>
      <c r="U54" s="104">
        <f t="shared" si="14"/>
        <v>-1.3748340915432755</v>
      </c>
    </row>
    <row r="55" spans="1:21">
      <c r="A55" s="7" t="s">
        <v>111</v>
      </c>
      <c r="B55" s="164">
        <v>99844</v>
      </c>
      <c r="C55" s="122">
        <f t="shared" ref="C55:C93" si="15">B55/B51-1</f>
        <v>2.8206580505638179E-2</v>
      </c>
      <c r="D55" s="119">
        <v>29673</v>
      </c>
      <c r="E55" s="122">
        <f t="shared" si="9"/>
        <v>8.4817021898877742E-2</v>
      </c>
      <c r="F55" s="7">
        <v>97973.468999999997</v>
      </c>
      <c r="G55" s="7">
        <v>30995.16</v>
      </c>
      <c r="H55" s="165">
        <v>3.7492867559194565E-2</v>
      </c>
      <c r="I55" s="101">
        <f t="shared" si="7"/>
        <v>573784.03644412477</v>
      </c>
      <c r="J55" s="166">
        <v>0.67846700000000004</v>
      </c>
      <c r="K55" s="167">
        <f t="shared" si="3"/>
        <v>6.7846700000000009E-4</v>
      </c>
      <c r="L55" s="168">
        <v>0.6</v>
      </c>
      <c r="M55" s="104">
        <f t="shared" si="10"/>
        <v>6.4212003145132748</v>
      </c>
      <c r="N55" s="104">
        <f t="shared" si="4"/>
        <v>614.74055346566468</v>
      </c>
      <c r="O55" s="105">
        <v>625.07051840096017</v>
      </c>
      <c r="P55" s="105">
        <v>0.67438288466197183</v>
      </c>
      <c r="Q55" s="104">
        <f t="shared" si="11"/>
        <v>11.505493466624509</v>
      </c>
      <c r="R55" s="106">
        <f t="shared" si="12"/>
        <v>99259.55506636748</v>
      </c>
      <c r="S55" s="107">
        <v>99524.038507851248</v>
      </c>
      <c r="T55" s="104">
        <f t="shared" si="13"/>
        <v>-1.29567986226371</v>
      </c>
      <c r="U55" s="104">
        <f t="shared" si="14"/>
        <v>-1.5579849161054038</v>
      </c>
    </row>
    <row r="56" spans="1:21">
      <c r="A56" s="7" t="s">
        <v>112</v>
      </c>
      <c r="B56" s="164">
        <v>101440</v>
      </c>
      <c r="C56" s="122">
        <f t="shared" si="15"/>
        <v>4.8909109709440513E-2</v>
      </c>
      <c r="D56" s="119">
        <v>28685</v>
      </c>
      <c r="E56" s="122">
        <f t="shared" si="9"/>
        <v>7.976360761876089E-2</v>
      </c>
      <c r="F56" s="7">
        <v>99527.517999999996</v>
      </c>
      <c r="G56" s="7">
        <v>31693.036</v>
      </c>
      <c r="H56" s="165">
        <v>3.7492867559194565E-2</v>
      </c>
      <c r="I56" s="101">
        <f t="shared" si="7"/>
        <v>583964.26355814515</v>
      </c>
      <c r="J56" s="166">
        <v>0.68244800000000005</v>
      </c>
      <c r="K56" s="167">
        <f t="shared" si="3"/>
        <v>6.824480000000001E-4</v>
      </c>
      <c r="L56" s="168">
        <v>0.6</v>
      </c>
      <c r="M56" s="104">
        <f t="shared" si="10"/>
        <v>6.4263927879451801</v>
      </c>
      <c r="N56" s="104">
        <f t="shared" si="4"/>
        <v>617.94087906934885</v>
      </c>
      <c r="O56" s="105">
        <v>622.82661084288236</v>
      </c>
      <c r="P56" s="105">
        <v>0.6783860845201779</v>
      </c>
      <c r="Q56" s="104">
        <f t="shared" si="11"/>
        <v>11.512482969605724</v>
      </c>
      <c r="R56" s="106">
        <f t="shared" si="12"/>
        <v>99955.760252213076</v>
      </c>
      <c r="S56" s="107">
        <v>100125.52285834074</v>
      </c>
      <c r="T56" s="104">
        <f t="shared" si="13"/>
        <v>-0.4284317893561318</v>
      </c>
      <c r="U56" s="104">
        <f t="shared" si="14"/>
        <v>-0.5972551665840653</v>
      </c>
    </row>
    <row r="57" spans="1:21">
      <c r="A57" s="7" t="s">
        <v>113</v>
      </c>
      <c r="B57" s="164">
        <v>98362</v>
      </c>
      <c r="C57" s="122">
        <f t="shared" si="15"/>
        <v>8.2412513581664459E-3</v>
      </c>
      <c r="D57" s="119">
        <v>35564</v>
      </c>
      <c r="E57" s="122">
        <f t="shared" si="9"/>
        <v>7.2885241945215506E-2</v>
      </c>
      <c r="F57" s="7">
        <v>99098.94</v>
      </c>
      <c r="G57" s="7">
        <v>30117.717000000001</v>
      </c>
      <c r="H57" s="165">
        <v>3.7492867559194565E-2</v>
      </c>
      <c r="I57" s="101">
        <f t="shared" si="7"/>
        <v>592187.48576525692</v>
      </c>
      <c r="J57" s="166">
        <v>0.68547899999999995</v>
      </c>
      <c r="K57" s="167">
        <f t="shared" si="3"/>
        <v>6.8547899999999991E-4</v>
      </c>
      <c r="L57" s="168">
        <v>0.6</v>
      </c>
      <c r="M57" s="104">
        <f t="shared" si="10"/>
        <v>6.4138250479456982</v>
      </c>
      <c r="N57" s="104">
        <f t="shared" si="4"/>
        <v>610.22335625662652</v>
      </c>
      <c r="O57" s="105">
        <v>620.63300811514034</v>
      </c>
      <c r="P57" s="105">
        <v>0.68247161264385647</v>
      </c>
      <c r="Q57" s="104">
        <f t="shared" si="11"/>
        <v>11.518150755495421</v>
      </c>
      <c r="R57" s="106">
        <f t="shared" si="12"/>
        <v>100523.8966165084</v>
      </c>
      <c r="S57" s="107">
        <v>100745.90331052036</v>
      </c>
      <c r="T57" s="104">
        <f t="shared" si="13"/>
        <v>-1.4175302236288156</v>
      </c>
      <c r="U57" s="104">
        <f t="shared" si="14"/>
        <v>-1.6347695106212479</v>
      </c>
    </row>
    <row r="58" spans="1:21">
      <c r="A58" s="7" t="s">
        <v>114</v>
      </c>
      <c r="B58" s="164">
        <v>96746</v>
      </c>
      <c r="C58" s="122">
        <f t="shared" si="15"/>
        <v>3.3423416687140106E-2</v>
      </c>
      <c r="D58" s="119">
        <v>30605</v>
      </c>
      <c r="E58" s="122">
        <f t="shared" si="9"/>
        <v>0.39202219594287269</v>
      </c>
      <c r="F58" s="7">
        <v>100616.89</v>
      </c>
      <c r="G58" s="7">
        <v>31561.921999999999</v>
      </c>
      <c r="H58" s="165">
        <v>3.7774782627820969E-2</v>
      </c>
      <c r="I58" s="101">
        <f t="shared" si="7"/>
        <v>601379.65421555855</v>
      </c>
      <c r="J58" s="166">
        <v>0.68627700000000003</v>
      </c>
      <c r="K58" s="167">
        <f t="shared" si="3"/>
        <v>6.86277E-4</v>
      </c>
      <c r="L58" s="168">
        <v>0.6</v>
      </c>
      <c r="M58" s="104">
        <f t="shared" si="10"/>
        <v>6.422167093496812</v>
      </c>
      <c r="N58" s="104">
        <f t="shared" si="4"/>
        <v>615.33515909288235</v>
      </c>
      <c r="O58" s="105">
        <v>618.48710552853424</v>
      </c>
      <c r="P58" s="105">
        <v>0.68663771860354317</v>
      </c>
      <c r="Q58" s="104">
        <f t="shared" si="11"/>
        <v>11.524499952469451</v>
      </c>
      <c r="R58" s="106">
        <f t="shared" si="12"/>
        <v>101164.17310658348</v>
      </c>
      <c r="S58" s="107">
        <v>101383.62940380011</v>
      </c>
      <c r="T58" s="104">
        <f t="shared" si="13"/>
        <v>-0.54098510349792628</v>
      </c>
      <c r="U58" s="104">
        <f t="shared" si="14"/>
        <v>-0.7562753556062507</v>
      </c>
    </row>
    <row r="59" spans="1:21">
      <c r="A59" s="7" t="s">
        <v>115</v>
      </c>
      <c r="B59" s="164">
        <v>104229</v>
      </c>
      <c r="C59" s="122">
        <f t="shared" si="15"/>
        <v>4.3918512880092964E-2</v>
      </c>
      <c r="D59" s="119">
        <v>33132</v>
      </c>
      <c r="E59" s="122">
        <f t="shared" si="9"/>
        <v>0.11657061975533312</v>
      </c>
      <c r="F59" s="7">
        <v>101936.62</v>
      </c>
      <c r="G59" s="7">
        <v>34716.559999999998</v>
      </c>
      <c r="H59" s="165">
        <v>3.7774782627820969E-2</v>
      </c>
      <c r="I59" s="101">
        <f t="shared" si="7"/>
        <v>613379.22850077157</v>
      </c>
      <c r="J59" s="166">
        <v>0.68746499999999999</v>
      </c>
      <c r="K59" s="167">
        <f t="shared" si="3"/>
        <v>6.8746499999999995E-4</v>
      </c>
      <c r="L59" s="168">
        <v>0.6</v>
      </c>
      <c r="M59" s="104">
        <f t="shared" si="10"/>
        <v>6.4262576756044556</v>
      </c>
      <c r="N59" s="104">
        <f t="shared" si="4"/>
        <v>617.85739327085616</v>
      </c>
      <c r="O59" s="105">
        <v>616.37979236145247</v>
      </c>
      <c r="P59" s="105">
        <v>0.69088453158687113</v>
      </c>
      <c r="Q59" s="104">
        <f t="shared" si="11"/>
        <v>11.532689242951175</v>
      </c>
      <c r="R59" s="106">
        <f t="shared" si="12"/>
        <v>101996.03744681798</v>
      </c>
      <c r="S59" s="107">
        <v>102036.12132552096</v>
      </c>
      <c r="T59" s="104">
        <f t="shared" si="13"/>
        <v>-5.8254661950929432E-2</v>
      </c>
      <c r="U59" s="104">
        <f t="shared" si="14"/>
        <v>-9.751578581033149E-2</v>
      </c>
    </row>
    <row r="60" spans="1:21">
      <c r="A60" s="7" t="s">
        <v>116</v>
      </c>
      <c r="B60" s="164">
        <v>103324</v>
      </c>
      <c r="C60" s="122">
        <f t="shared" si="15"/>
        <v>1.8572555205047303E-2</v>
      </c>
      <c r="D60" s="119">
        <v>31069</v>
      </c>
      <c r="E60" s="122">
        <f t="shared" si="9"/>
        <v>8.3109639184242745E-2</v>
      </c>
      <c r="F60" s="7">
        <v>101714.65</v>
      </c>
      <c r="G60" s="7">
        <v>34185.292999999998</v>
      </c>
      <c r="H60" s="165">
        <v>3.7774782627820969E-2</v>
      </c>
      <c r="I60" s="101">
        <f t="shared" si="7"/>
        <v>624394.25447573431</v>
      </c>
      <c r="J60" s="166">
        <v>0.69096500000000005</v>
      </c>
      <c r="K60" s="167">
        <f t="shared" si="3"/>
        <v>6.9096500000000009E-4</v>
      </c>
      <c r="L60" s="168">
        <v>0.6</v>
      </c>
      <c r="M60" s="104">
        <f t="shared" si="10"/>
        <v>6.4139113810660326</v>
      </c>
      <c r="N60" s="104">
        <f t="shared" si="4"/>
        <v>610.27604101726024</v>
      </c>
      <c r="O60" s="105">
        <v>614.29998792576123</v>
      </c>
      <c r="P60" s="105">
        <v>0.69521195533234637</v>
      </c>
      <c r="Q60" s="104">
        <f t="shared" si="11"/>
        <v>11.540175189951732</v>
      </c>
      <c r="R60" s="106">
        <f t="shared" si="12"/>
        <v>102762.43942063453</v>
      </c>
      <c r="S60" s="107">
        <v>102700.32005089649</v>
      </c>
      <c r="T60" s="104">
        <f t="shared" si="13"/>
        <v>-1.0196229542057234</v>
      </c>
      <c r="U60" s="104">
        <f t="shared" si="14"/>
        <v>-0.9597536311552135</v>
      </c>
    </row>
    <row r="61" spans="1:21">
      <c r="A61" s="7" t="s">
        <v>117</v>
      </c>
      <c r="B61" s="164">
        <v>103236</v>
      </c>
      <c r="C61" s="122">
        <f t="shared" si="15"/>
        <v>4.9551656127366339E-2</v>
      </c>
      <c r="D61" s="119">
        <v>33474</v>
      </c>
      <c r="E61" s="122">
        <f t="shared" si="9"/>
        <v>-5.876729276796766E-2</v>
      </c>
      <c r="F61" s="7">
        <v>102800.34</v>
      </c>
      <c r="G61" s="7">
        <v>27654.626</v>
      </c>
      <c r="H61" s="165">
        <v>3.7774782627820969E-2</v>
      </c>
      <c r="I61" s="101">
        <f t="shared" si="7"/>
        <v>628462.5232388532</v>
      </c>
      <c r="J61" s="166">
        <v>0.69604600000000005</v>
      </c>
      <c r="K61" s="167">
        <f t="shared" si="3"/>
        <v>6.9604600000000008E-4</v>
      </c>
      <c r="L61" s="168">
        <v>0.6</v>
      </c>
      <c r="M61" s="104">
        <f t="shared" si="10"/>
        <v>6.4175349861819111</v>
      </c>
      <c r="N61" s="104">
        <f t="shared" si="4"/>
        <v>612.49145186450528</v>
      </c>
      <c r="O61" s="105">
        <v>612.23753503389514</v>
      </c>
      <c r="P61" s="105">
        <v>0.69961775637123302</v>
      </c>
      <c r="Q61" s="104">
        <f t="shared" si="11"/>
        <v>11.543200313638344</v>
      </c>
      <c r="R61" s="106">
        <f t="shared" si="12"/>
        <v>103073.77919344843</v>
      </c>
      <c r="S61" s="107">
        <v>103373.10436681185</v>
      </c>
      <c r="T61" s="104">
        <f t="shared" si="13"/>
        <v>-0.26528492075102994</v>
      </c>
      <c r="U61" s="104">
        <f t="shared" si="14"/>
        <v>-0.55407484405174401</v>
      </c>
    </row>
    <row r="62" spans="1:21">
      <c r="A62" s="7" t="s">
        <v>118</v>
      </c>
      <c r="B62" s="164">
        <v>99679</v>
      </c>
      <c r="C62" s="122">
        <f t="shared" si="15"/>
        <v>3.0316498873338427E-2</v>
      </c>
      <c r="D62" s="119">
        <v>32330</v>
      </c>
      <c r="E62" s="122">
        <f t="shared" si="9"/>
        <v>5.6363339323640016E-2</v>
      </c>
      <c r="F62" s="7">
        <v>104231.28</v>
      </c>
      <c r="G62" s="7">
        <v>33199.576000000001</v>
      </c>
      <c r="H62" s="165">
        <v>3.8093328475952148E-2</v>
      </c>
      <c r="I62" s="101">
        <f t="shared" si="7"/>
        <v>637721.86990628985</v>
      </c>
      <c r="J62" s="166">
        <v>0.69724799999999998</v>
      </c>
      <c r="K62" s="167">
        <f t="shared" si="3"/>
        <v>6.9724800000000003E-4</v>
      </c>
      <c r="L62" s="168">
        <v>0.6</v>
      </c>
      <c r="M62" s="104">
        <f t="shared" si="10"/>
        <v>6.424473017048979</v>
      </c>
      <c r="N62" s="104">
        <f t="shared" si="4"/>
        <v>616.75571214262141</v>
      </c>
      <c r="O62" s="105">
        <v>610.17976153147117</v>
      </c>
      <c r="P62" s="105">
        <v>0.70409704688771269</v>
      </c>
      <c r="Q62" s="104">
        <f t="shared" si="11"/>
        <v>11.549513166487149</v>
      </c>
      <c r="R62" s="106">
        <f t="shared" si="12"/>
        <v>103726.52697663815</v>
      </c>
      <c r="S62" s="107">
        <v>104050.73701637037</v>
      </c>
      <c r="T62" s="104">
        <f t="shared" si="13"/>
        <v>0.48661903379405569</v>
      </c>
      <c r="U62" s="104">
        <f t="shared" si="14"/>
        <v>0.17351437270571868</v>
      </c>
    </row>
    <row r="63" spans="1:21">
      <c r="A63" s="7" t="s">
        <v>119</v>
      </c>
      <c r="B63" s="164">
        <v>105177</v>
      </c>
      <c r="C63" s="122">
        <f t="shared" si="15"/>
        <v>9.0953573381689079E-3</v>
      </c>
      <c r="D63" s="119">
        <v>29957</v>
      </c>
      <c r="E63" s="122">
        <f t="shared" si="9"/>
        <v>-9.5828805988168564E-2</v>
      </c>
      <c r="F63" s="7">
        <v>104543.12</v>
      </c>
      <c r="G63" s="7">
        <v>31936.753000000001</v>
      </c>
      <c r="H63" s="165">
        <v>3.8093328475952148E-2</v>
      </c>
      <c r="I63" s="101">
        <f t="shared" si="7"/>
        <v>645365.67423965118</v>
      </c>
      <c r="J63" s="166">
        <v>0.69957800000000003</v>
      </c>
      <c r="K63" s="167">
        <f t="shared" si="3"/>
        <v>6.9957800000000007E-4</v>
      </c>
      <c r="L63" s="168">
        <v>0.6</v>
      </c>
      <c r="M63" s="104">
        <f t="shared" si="10"/>
        <v>6.4206927378065188</v>
      </c>
      <c r="N63" s="104">
        <f t="shared" si="4"/>
        <v>614.42860465569947</v>
      </c>
      <c r="O63" s="105">
        <v>608.11415396212533</v>
      </c>
      <c r="P63" s="105">
        <v>0.70864270671823482</v>
      </c>
      <c r="Q63" s="104">
        <f t="shared" si="11"/>
        <v>11.554749274812803</v>
      </c>
      <c r="R63" s="106">
        <f t="shared" si="12"/>
        <v>104271.07471946951</v>
      </c>
      <c r="S63" s="107">
        <v>104729.12276494615</v>
      </c>
      <c r="T63" s="104">
        <f t="shared" si="13"/>
        <v>0.26090196275658784</v>
      </c>
      <c r="U63" s="104">
        <f t="shared" si="14"/>
        <v>-0.1776036693858507</v>
      </c>
    </row>
    <row r="64" spans="1:21">
      <c r="A64" s="7" t="s">
        <v>120</v>
      </c>
      <c r="B64" s="164">
        <v>108275</v>
      </c>
      <c r="C64" s="122">
        <f t="shared" si="15"/>
        <v>4.7917231233788771E-2</v>
      </c>
      <c r="D64" s="119">
        <v>31476</v>
      </c>
      <c r="E64" s="122">
        <f t="shared" si="9"/>
        <v>1.3099874472947359E-2</v>
      </c>
      <c r="F64" s="7">
        <v>105996.51</v>
      </c>
      <c r="G64" s="7">
        <v>34827.652000000002</v>
      </c>
      <c r="H64" s="165">
        <v>3.8093328475952148E-2</v>
      </c>
      <c r="I64" s="101">
        <f t="shared" si="7"/>
        <v>655609.19962373585</v>
      </c>
      <c r="J64" s="166">
        <v>0.71138000000000001</v>
      </c>
      <c r="K64" s="167">
        <f t="shared" si="3"/>
        <v>7.1138000000000006E-4</v>
      </c>
      <c r="L64" s="168">
        <v>0.6</v>
      </c>
      <c r="M64" s="104">
        <f t="shared" si="10"/>
        <v>6.4181625048384365</v>
      </c>
      <c r="N64" s="104">
        <f t="shared" si="4"/>
        <v>612.8759222960806</v>
      </c>
      <c r="O64" s="105">
        <v>606.03230883862545</v>
      </c>
      <c r="P64" s="105">
        <v>0.71324333504494408</v>
      </c>
      <c r="Q64" s="104">
        <f t="shared" si="11"/>
        <v>11.561501782762628</v>
      </c>
      <c r="R64" s="106">
        <f t="shared" si="12"/>
        <v>104977.54853107978</v>
      </c>
      <c r="S64" s="107">
        <v>105404.27921727802</v>
      </c>
      <c r="T64" s="104">
        <f t="shared" si="13"/>
        <v>0.97064704137050928</v>
      </c>
      <c r="U64" s="104">
        <f t="shared" si="14"/>
        <v>0.56186597652374548</v>
      </c>
    </row>
    <row r="65" spans="1:21">
      <c r="A65" s="7" t="s">
        <v>121</v>
      </c>
      <c r="B65" s="164">
        <v>110118</v>
      </c>
      <c r="C65" s="122">
        <f t="shared" si="15"/>
        <v>6.6662792049285047E-2</v>
      </c>
      <c r="D65" s="119">
        <v>45126</v>
      </c>
      <c r="E65" s="122">
        <f t="shared" si="9"/>
        <v>0.34809105574475718</v>
      </c>
      <c r="F65" s="7">
        <v>107068.18</v>
      </c>
      <c r="G65" s="7">
        <v>38704.777999999998</v>
      </c>
      <c r="H65" s="165">
        <v>3.8093328475952148E-2</v>
      </c>
      <c r="I65" s="101">
        <f t="shared" si="7"/>
        <v>669339.64103061287</v>
      </c>
      <c r="J65" s="166">
        <v>0.71575800000000001</v>
      </c>
      <c r="K65" s="167">
        <f t="shared" si="3"/>
        <v>7.1575800000000004E-4</v>
      </c>
      <c r="L65" s="168">
        <v>0.6</v>
      </c>
      <c r="M65" s="104">
        <f t="shared" si="10"/>
        <v>6.4162502435973234</v>
      </c>
      <c r="N65" s="104">
        <f t="shared" si="4"/>
        <v>611.70506327521878</v>
      </c>
      <c r="O65" s="105">
        <v>603.92976920542299</v>
      </c>
      <c r="P65" s="105">
        <v>0.71788186560828615</v>
      </c>
      <c r="Q65" s="104">
        <f t="shared" si="11"/>
        <v>11.570206519367041</v>
      </c>
      <c r="R65" s="106">
        <f t="shared" si="12"/>
        <v>105895.33920820845</v>
      </c>
      <c r="S65" s="107">
        <v>106072.10772637672</v>
      </c>
      <c r="T65" s="104">
        <f t="shared" si="13"/>
        <v>1.1075471314988983</v>
      </c>
      <c r="U65" s="104">
        <f t="shared" si="14"/>
        <v>0.93905202316968417</v>
      </c>
    </row>
    <row r="66" spans="1:21">
      <c r="A66" s="7" t="s">
        <v>122</v>
      </c>
      <c r="B66" s="164">
        <v>101100</v>
      </c>
      <c r="C66" s="122">
        <f t="shared" si="15"/>
        <v>1.4255760992786914E-2</v>
      </c>
      <c r="D66" s="119">
        <v>35237</v>
      </c>
      <c r="E66" s="122">
        <f t="shared" si="9"/>
        <v>8.9916486235694482E-2</v>
      </c>
      <c r="F66" s="7">
        <v>107007.92</v>
      </c>
      <c r="G66" s="7">
        <v>36062.044999999998</v>
      </c>
      <c r="H66" s="165">
        <v>3.8487061858177185E-2</v>
      </c>
      <c r="I66" s="101">
        <f t="shared" si="7"/>
        <v>679640.76986213762</v>
      </c>
      <c r="J66" s="166">
        <v>0.71443500000000004</v>
      </c>
      <c r="K66" s="167">
        <f t="shared" si="3"/>
        <v>7.1443500000000003E-4</v>
      </c>
      <c r="L66" s="168">
        <v>0.6</v>
      </c>
      <c r="M66" s="104">
        <f t="shared" ref="M66:M105" si="16">LN(F66)-L66*LN(J66)-(1-L66)*LN(I66)</f>
        <v>6.4106882212920056</v>
      </c>
      <c r="N66" s="104">
        <f t="shared" si="4"/>
        <v>608.31219043306737</v>
      </c>
      <c r="O66" s="105">
        <v>601.80635536538034</v>
      </c>
      <c r="P66" s="105">
        <v>0.72254006756430389</v>
      </c>
      <c r="Q66" s="104">
        <f t="shared" ref="Q66:Q105" si="17">LN(O66)+LN(P66)*L66+LN(I66)*(1-L66)</f>
        <v>11.576674145695524</v>
      </c>
      <c r="R66" s="106">
        <f t="shared" ref="R66" si="18">EXP(Q66)</f>
        <v>106582.45028581924</v>
      </c>
      <c r="S66" s="107">
        <v>106728.87978949225</v>
      </c>
      <c r="T66" s="104">
        <f t="shared" ref="T66:T105" si="19">(F66/R66-1)*100</f>
        <v>0.39919303134783313</v>
      </c>
      <c r="U66" s="104">
        <f t="shared" ref="U66:U105" si="20">(F66/S66-1)*100</f>
        <v>0.26144770849101384</v>
      </c>
    </row>
    <row r="67" spans="1:21">
      <c r="A67" s="7" t="s">
        <v>123</v>
      </c>
      <c r="B67" s="164">
        <v>107841</v>
      </c>
      <c r="C67" s="122">
        <f t="shared" si="15"/>
        <v>2.5328731566787388E-2</v>
      </c>
      <c r="D67" s="119">
        <v>39356</v>
      </c>
      <c r="E67" s="122">
        <f t="shared" si="9"/>
        <v>0.3137497079146776</v>
      </c>
      <c r="F67" s="7">
        <v>108686.54</v>
      </c>
      <c r="G67" s="7">
        <v>41698.417999999998</v>
      </c>
      <c r="H67" s="165">
        <v>3.8487061858177185E-2</v>
      </c>
      <c r="I67" s="101">
        <f t="shared" si="7"/>
        <v>695181.81151111436</v>
      </c>
      <c r="J67" s="166">
        <v>0.72067400000000004</v>
      </c>
      <c r="K67" s="167">
        <f t="shared" ref="K67:K93" si="21">J67/1000</f>
        <v>7.2067400000000003E-4</v>
      </c>
      <c r="L67" s="168">
        <v>0.6</v>
      </c>
      <c r="M67" s="104">
        <f t="shared" si="16"/>
        <v>6.4119927987860432</v>
      </c>
      <c r="N67" s="104">
        <f t="shared" ref="N67:N105" si="22">EXP(M67)</f>
        <v>609.10629870131652</v>
      </c>
      <c r="O67" s="105">
        <v>599.66674718015349</v>
      </c>
      <c r="P67" s="105">
        <v>0.72719838265303494</v>
      </c>
      <c r="Q67" s="104">
        <f t="shared" si="17"/>
        <v>11.586011979281601</v>
      </c>
      <c r="R67" s="106">
        <f t="shared" ref="R67:R92" si="23">EXP(Q67)</f>
        <v>107582.36070272171</v>
      </c>
      <c r="S67" s="107">
        <v>107371.48944904558</v>
      </c>
      <c r="T67" s="104">
        <f t="shared" si="19"/>
        <v>1.0263571928203152</v>
      </c>
      <c r="U67" s="104">
        <f t="shared" si="20"/>
        <v>1.2247669820939722</v>
      </c>
    </row>
    <row r="68" spans="1:21">
      <c r="A68" s="7" t="s">
        <v>124</v>
      </c>
      <c r="B68" s="164">
        <v>111758</v>
      </c>
      <c r="C68" s="122">
        <f t="shared" si="15"/>
        <v>3.2168090510274805E-2</v>
      </c>
      <c r="D68" s="119">
        <v>36762</v>
      </c>
      <c r="E68" s="122">
        <f t="shared" si="9"/>
        <v>0.1679374761723218</v>
      </c>
      <c r="F68" s="7">
        <v>109376.31</v>
      </c>
      <c r="G68" s="7">
        <v>40368.773000000001</v>
      </c>
      <c r="H68" s="165">
        <v>3.8487061858177185E-2</v>
      </c>
      <c r="I68" s="101">
        <f t="shared" ref="I68:I93" si="24">I67*(1-H68)+G68</f>
        <v>708795.07912880648</v>
      </c>
      <c r="J68" s="166">
        <v>0.72798499999999999</v>
      </c>
      <c r="K68" s="167">
        <f t="shared" si="21"/>
        <v>7.27985E-4</v>
      </c>
      <c r="L68" s="168">
        <v>0.6</v>
      </c>
      <c r="M68" s="104">
        <f t="shared" si="16"/>
        <v>6.4045058076828267</v>
      </c>
      <c r="N68" s="104">
        <f t="shared" si="22"/>
        <v>604.56295447402147</v>
      </c>
      <c r="O68" s="105">
        <v>597.51969065831588</v>
      </c>
      <c r="P68" s="105">
        <v>0.73183218694728924</v>
      </c>
      <c r="Q68" s="104">
        <f t="shared" si="17"/>
        <v>11.593993506159046</v>
      </c>
      <c r="R68" s="106">
        <f t="shared" si="23"/>
        <v>108444.4680961843</v>
      </c>
      <c r="S68" s="107">
        <v>107997.00514758927</v>
      </c>
      <c r="T68" s="104">
        <f t="shared" si="19"/>
        <v>0.85928025668327024</v>
      </c>
      <c r="U68" s="104">
        <f t="shared" si="20"/>
        <v>1.2771695386605941</v>
      </c>
    </row>
    <row r="69" spans="1:21">
      <c r="A69" s="7" t="s">
        <v>125</v>
      </c>
      <c r="B69" s="164">
        <v>114605</v>
      </c>
      <c r="C69" s="122">
        <f t="shared" si="15"/>
        <v>4.0747198459833989E-2</v>
      </c>
      <c r="D69" s="119">
        <v>44939</v>
      </c>
      <c r="E69" s="122">
        <f t="shared" si="9"/>
        <v>-4.1439524885875656E-3</v>
      </c>
      <c r="F69" s="7">
        <v>110016.11</v>
      </c>
      <c r="G69" s="7">
        <v>37984.188000000002</v>
      </c>
      <c r="H69" s="165">
        <v>3.8487061858177185E-2</v>
      </c>
      <c r="I69" s="101">
        <f t="shared" si="24"/>
        <v>719499.82707360445</v>
      </c>
      <c r="J69" s="166">
        <v>0.73110699999999995</v>
      </c>
      <c r="K69" s="167">
        <f t="shared" si="21"/>
        <v>7.3110699999999994E-4</v>
      </c>
      <c r="L69" s="168">
        <v>0.6</v>
      </c>
      <c r="M69" s="104">
        <f t="shared" si="16"/>
        <v>6.4017747356788224</v>
      </c>
      <c r="N69" s="104">
        <f t="shared" si="22"/>
        <v>602.9141021065343</v>
      </c>
      <c r="O69" s="105">
        <v>595.37983152814161</v>
      </c>
      <c r="P69" s="105">
        <v>0.73641277878071854</v>
      </c>
      <c r="Q69" s="104">
        <f t="shared" si="17"/>
        <v>11.600145514137147</v>
      </c>
      <c r="R69" s="106">
        <f t="shared" si="23"/>
        <v>109113.67570372818</v>
      </c>
      <c r="S69" s="107">
        <v>108603.31723427023</v>
      </c>
      <c r="T69" s="104">
        <f t="shared" si="19"/>
        <v>0.82705883607310238</v>
      </c>
      <c r="U69" s="104">
        <f t="shared" si="20"/>
        <v>1.3008744131472572</v>
      </c>
    </row>
    <row r="70" spans="1:21">
      <c r="A70" s="7" t="s">
        <v>126</v>
      </c>
      <c r="B70" s="164">
        <v>105084</v>
      </c>
      <c r="C70" s="122">
        <f t="shared" si="15"/>
        <v>3.9406528189910972E-2</v>
      </c>
      <c r="D70" s="119">
        <v>42426</v>
      </c>
      <c r="E70" s="122">
        <f t="shared" si="9"/>
        <v>0.20401850327780457</v>
      </c>
      <c r="F70" s="7">
        <v>110404.65</v>
      </c>
      <c r="G70" s="7">
        <v>43104.81</v>
      </c>
      <c r="H70" s="165">
        <v>3.9075747132301331E-2</v>
      </c>
      <c r="I70" s="101">
        <f t="shared" si="24"/>
        <v>734489.64376914175</v>
      </c>
      <c r="J70" s="166">
        <v>0.734043</v>
      </c>
      <c r="K70" s="167">
        <f t="shared" si="21"/>
        <v>7.3404299999999998E-4</v>
      </c>
      <c r="L70" s="168">
        <v>0.6</v>
      </c>
      <c r="M70" s="104">
        <f t="shared" si="16"/>
        <v>6.3946476629717015</v>
      </c>
      <c r="N70" s="104">
        <f t="shared" si="22"/>
        <v>598.63236571224695</v>
      </c>
      <c r="O70" s="105">
        <v>593.26621755778945</v>
      </c>
      <c r="P70" s="105">
        <v>0.74090905199513235</v>
      </c>
      <c r="Q70" s="104">
        <f t="shared" si="17"/>
        <v>11.608489262821738</v>
      </c>
      <c r="R70" s="106">
        <f t="shared" si="23"/>
        <v>110027.9015232057</v>
      </c>
      <c r="S70" s="107">
        <v>109189.17812376808</v>
      </c>
      <c r="T70" s="104">
        <f t="shared" si="19"/>
        <v>0.34241176245175531</v>
      </c>
      <c r="U70" s="104">
        <f t="shared" si="20"/>
        <v>1.1131798014397898</v>
      </c>
    </row>
    <row r="71" spans="1:21">
      <c r="A71" s="7" t="s">
        <v>127</v>
      </c>
      <c r="B71" s="164">
        <v>107915</v>
      </c>
      <c r="C71" s="122">
        <f t="shared" si="15"/>
        <v>6.8619541732739542E-4</v>
      </c>
      <c r="D71" s="119">
        <v>34058</v>
      </c>
      <c r="E71" s="122">
        <f t="shared" ref="E71:E93" si="25">D71/D67-1</f>
        <v>-0.1346173391604838</v>
      </c>
      <c r="F71" s="7">
        <v>109689.94</v>
      </c>
      <c r="G71" s="7">
        <v>36853.925999999999</v>
      </c>
      <c r="H71" s="165">
        <v>3.9075747132301331E-2</v>
      </c>
      <c r="I71" s="101">
        <f t="shared" si="24"/>
        <v>742642.83817792463</v>
      </c>
      <c r="J71" s="166">
        <v>0.73989199999999999</v>
      </c>
      <c r="K71" s="167">
        <f t="shared" si="21"/>
        <v>7.3989200000000002E-4</v>
      </c>
      <c r="L71" s="168">
        <v>0.6</v>
      </c>
      <c r="M71" s="104">
        <f t="shared" si="16"/>
        <v>6.3789753647146528</v>
      </c>
      <c r="N71" s="104">
        <f t="shared" si="22"/>
        <v>589.32355648356065</v>
      </c>
      <c r="O71" s="105">
        <v>591.20260543452957</v>
      </c>
      <c r="P71" s="105">
        <v>0.74528658432060235</v>
      </c>
      <c r="Q71" s="104">
        <f t="shared" si="17"/>
        <v>11.612955104395844</v>
      </c>
      <c r="R71" s="106">
        <f t="shared" si="23"/>
        <v>110520.36751923154</v>
      </c>
      <c r="S71" s="107">
        <v>109754.22322624105</v>
      </c>
      <c r="T71" s="104">
        <f t="shared" si="19"/>
        <v>-0.75137962157703075</v>
      </c>
      <c r="U71" s="104">
        <f t="shared" si="20"/>
        <v>-5.8570161904880624E-2</v>
      </c>
    </row>
    <row r="72" spans="1:21">
      <c r="A72" s="7" t="s">
        <v>128</v>
      </c>
      <c r="B72" s="164">
        <v>111969</v>
      </c>
      <c r="C72" s="122">
        <f t="shared" si="15"/>
        <v>1.8880080173231395E-3</v>
      </c>
      <c r="D72" s="119">
        <v>32082</v>
      </c>
      <c r="E72" s="122">
        <f t="shared" si="25"/>
        <v>-0.12730536967520811</v>
      </c>
      <c r="F72" s="7">
        <v>110203.93</v>
      </c>
      <c r="G72" s="7">
        <v>35937.540999999997</v>
      </c>
      <c r="H72" s="165">
        <v>3.9075747132301303E-2</v>
      </c>
      <c r="I72" s="101">
        <f t="shared" si="24"/>
        <v>749561.0554236694</v>
      </c>
      <c r="J72" s="166">
        <v>0.74345099999999997</v>
      </c>
      <c r="K72" s="167">
        <f t="shared" si="21"/>
        <v>7.4345100000000001E-4</v>
      </c>
      <c r="L72" s="168">
        <v>0.6</v>
      </c>
      <c r="M72" s="104">
        <f t="shared" si="16"/>
        <v>6.3770620674541743</v>
      </c>
      <c r="N72" s="104">
        <f t="shared" si="22"/>
        <v>588.19708332005473</v>
      </c>
      <c r="O72" s="105">
        <v>589.21610568822882</v>
      </c>
      <c r="P72" s="105">
        <v>0.74950666220470319</v>
      </c>
      <c r="Q72" s="104">
        <f t="shared" si="17"/>
        <v>11.616686197386143</v>
      </c>
      <c r="R72" s="106">
        <f t="shared" si="23"/>
        <v>110933.49952546466</v>
      </c>
      <c r="S72" s="107">
        <v>110298.84762176999</v>
      </c>
      <c r="T72" s="104">
        <f t="shared" si="19"/>
        <v>-0.65766385139341965</v>
      </c>
      <c r="U72" s="104">
        <f t="shared" si="20"/>
        <v>-8.6054953262504341E-2</v>
      </c>
    </row>
    <row r="73" spans="1:21">
      <c r="A73" s="7" t="s">
        <v>129</v>
      </c>
      <c r="B73" s="164">
        <v>115045</v>
      </c>
      <c r="C73" s="122">
        <f t="shared" si="15"/>
        <v>3.8392740281838478E-3</v>
      </c>
      <c r="D73" s="119">
        <v>44282</v>
      </c>
      <c r="E73" s="122">
        <f t="shared" si="25"/>
        <v>-1.4619817975477845E-2</v>
      </c>
      <c r="F73" s="7">
        <v>110280.45</v>
      </c>
      <c r="G73" s="7">
        <v>36686.894999999997</v>
      </c>
      <c r="H73" s="165">
        <v>3.9075747132301331E-2</v>
      </c>
      <c r="I73" s="101">
        <f t="shared" si="24"/>
        <v>756958.29216171324</v>
      </c>
      <c r="J73" s="166">
        <v>0.74520600000000004</v>
      </c>
      <c r="K73" s="167">
        <f t="shared" si="21"/>
        <v>7.4520599999999999E-4</v>
      </c>
      <c r="L73" s="168">
        <v>0.6</v>
      </c>
      <c r="M73" s="104">
        <f t="shared" si="16"/>
        <v>6.3724133250332828</v>
      </c>
      <c r="N73" s="104">
        <f t="shared" si="22"/>
        <v>585.46905245629148</v>
      </c>
      <c r="O73" s="105">
        <v>587.33265444315953</v>
      </c>
      <c r="P73" s="105">
        <v>0.75352720047980903</v>
      </c>
      <c r="Q73" s="104">
        <f t="shared" si="17"/>
        <v>11.62062263818132</v>
      </c>
      <c r="R73" s="106">
        <f>EXP(Q73)</f>
        <v>111371.04329612388</v>
      </c>
      <c r="S73" s="107">
        <v>110823.40621341935</v>
      </c>
      <c r="T73" s="104">
        <f t="shared" si="19"/>
        <v>-0.97924313524128115</v>
      </c>
      <c r="U73" s="104">
        <f t="shared" si="20"/>
        <v>-0.48992918731783908</v>
      </c>
    </row>
    <row r="74" spans="1:21">
      <c r="A74" s="7" t="s">
        <v>130</v>
      </c>
      <c r="B74" s="164">
        <v>105790</v>
      </c>
      <c r="C74" s="122">
        <f t="shared" si="15"/>
        <v>6.7184347759887686E-3</v>
      </c>
      <c r="D74" s="119">
        <v>40290</v>
      </c>
      <c r="E74" s="122">
        <f t="shared" si="25"/>
        <v>-5.034648564559463E-2</v>
      </c>
      <c r="F74" s="7">
        <v>111487.41</v>
      </c>
      <c r="G74" s="7">
        <v>41040.591999999997</v>
      </c>
      <c r="H74" s="165">
        <v>3.9768289774656296E-2</v>
      </c>
      <c r="I74" s="101">
        <f t="shared" si="24"/>
        <v>767895.9474516972</v>
      </c>
      <c r="J74" s="166">
        <v>0.749892</v>
      </c>
      <c r="K74" s="167">
        <f t="shared" si="21"/>
        <v>7.4989200000000005E-4</v>
      </c>
      <c r="L74" s="168">
        <v>0.6</v>
      </c>
      <c r="M74" s="104">
        <f t="shared" si="16"/>
        <v>6.373798791256438</v>
      </c>
      <c r="N74" s="112">
        <f t="shared" si="22"/>
        <v>586.2807622215629</v>
      </c>
      <c r="O74" s="105">
        <v>585.57755093461401</v>
      </c>
      <c r="P74" s="105">
        <v>0.75730232918941631</v>
      </c>
      <c r="Q74" s="104">
        <f t="shared" si="17"/>
        <v>11.626366797573914</v>
      </c>
      <c r="R74" s="106">
        <f t="shared" si="23"/>
        <v>112012.61720786222</v>
      </c>
      <c r="S74" s="107">
        <v>111328.19458073999</v>
      </c>
      <c r="T74" s="104">
        <f t="shared" si="19"/>
        <v>-0.46888218573412077</v>
      </c>
      <c r="U74" s="104">
        <f t="shared" si="20"/>
        <v>0.14301446265216899</v>
      </c>
    </row>
    <row r="75" spans="1:21">
      <c r="A75" s="7" t="s">
        <v>131</v>
      </c>
      <c r="B75" s="164">
        <v>110944</v>
      </c>
      <c r="C75" s="122">
        <f t="shared" si="15"/>
        <v>2.806838715655835E-2</v>
      </c>
      <c r="D75" s="119">
        <v>31535</v>
      </c>
      <c r="E75" s="122">
        <f t="shared" si="25"/>
        <v>-7.4079511421692446E-2</v>
      </c>
      <c r="F75" s="7">
        <v>112154.71</v>
      </c>
      <c r="G75" s="7">
        <v>34687.873</v>
      </c>
      <c r="H75" s="165">
        <v>3.9768289774656296E-2</v>
      </c>
      <c r="I75" s="101">
        <f t="shared" si="24"/>
        <v>772045.91189665382</v>
      </c>
      <c r="J75" s="166">
        <v>0.75507299999999999</v>
      </c>
      <c r="K75" s="167">
        <f t="shared" si="21"/>
        <v>7.5507299999999999E-4</v>
      </c>
      <c r="L75" s="168">
        <v>0.6</v>
      </c>
      <c r="M75" s="104">
        <f t="shared" si="16"/>
        <v>6.3734793243478558</v>
      </c>
      <c r="N75" s="104">
        <f t="shared" si="22"/>
        <v>586.09349483335427</v>
      </c>
      <c r="O75" s="105">
        <v>583.97492964664286</v>
      </c>
      <c r="P75" s="105">
        <v>0.76078097762672148</v>
      </c>
      <c r="Q75" s="104">
        <f t="shared" si="17"/>
        <v>11.628531909952628</v>
      </c>
      <c r="R75" s="106">
        <f t="shared" si="23"/>
        <v>112255.39984295417</v>
      </c>
      <c r="S75" s="107">
        <v>111813.16895564937</v>
      </c>
      <c r="T75" s="104">
        <f t="shared" si="19"/>
        <v>-8.969710418833543E-2</v>
      </c>
      <c r="U75" s="104">
        <f t="shared" si="20"/>
        <v>0.30545690417387306</v>
      </c>
    </row>
    <row r="76" spans="1:21">
      <c r="A76" s="7" t="s">
        <v>132</v>
      </c>
      <c r="B76" s="164">
        <v>114985</v>
      </c>
      <c r="C76" s="122">
        <f t="shared" si="15"/>
        <v>2.6936026936027035E-2</v>
      </c>
      <c r="D76" s="119">
        <v>32266</v>
      </c>
      <c r="E76" s="122">
        <f t="shared" si="25"/>
        <v>5.735303285331339E-3</v>
      </c>
      <c r="F76" s="7">
        <v>113445.9</v>
      </c>
      <c r="G76" s="7">
        <v>36265.061000000002</v>
      </c>
      <c r="H76" s="165">
        <v>3.9768289774656296E-2</v>
      </c>
      <c r="I76" s="101">
        <f t="shared" si="24"/>
        <v>777608.02735300886</v>
      </c>
      <c r="J76" s="166">
        <v>0.75944500000000004</v>
      </c>
      <c r="K76" s="167">
        <f t="shared" si="21"/>
        <v>7.5944500000000009E-4</v>
      </c>
      <c r="L76" s="168">
        <v>0.6</v>
      </c>
      <c r="M76" s="104">
        <f t="shared" si="16"/>
        <v>6.3785906335387086</v>
      </c>
      <c r="N76" s="104">
        <f t="shared" si="22"/>
        <v>589.09686894834033</v>
      </c>
      <c r="O76" s="105">
        <v>582.54936457035114</v>
      </c>
      <c r="P76" s="105">
        <v>0.76390744362917773</v>
      </c>
      <c r="Q76" s="104">
        <f t="shared" si="17"/>
        <v>11.631419883477434</v>
      </c>
      <c r="R76" s="106">
        <f t="shared" si="23"/>
        <v>112580.05904365664</v>
      </c>
      <c r="S76" s="107">
        <v>112278.38507970201</v>
      </c>
      <c r="T76" s="104">
        <f t="shared" si="19"/>
        <v>0.76908909419526328</v>
      </c>
      <c r="U76" s="104">
        <f t="shared" si="20"/>
        <v>1.0398394307766345</v>
      </c>
    </row>
    <row r="77" spans="1:21">
      <c r="A77" s="7" t="s">
        <v>133</v>
      </c>
      <c r="B77" s="164">
        <v>120969</v>
      </c>
      <c r="C77" s="122">
        <f t="shared" si="15"/>
        <v>5.1492894084923302E-2</v>
      </c>
      <c r="D77" s="119">
        <v>51314</v>
      </c>
      <c r="E77" s="122">
        <f t="shared" si="25"/>
        <v>0.15880041551872082</v>
      </c>
      <c r="F77" s="7">
        <v>115267.1</v>
      </c>
      <c r="G77" s="7">
        <v>43064.82</v>
      </c>
      <c r="H77" s="165">
        <v>3.9768289774656296E-2</v>
      </c>
      <c r="I77" s="101">
        <f t="shared" si="24"/>
        <v>789748.70599013544</v>
      </c>
      <c r="J77" s="166">
        <v>0.77180599999999999</v>
      </c>
      <c r="K77" s="167">
        <f t="shared" si="21"/>
        <v>7.7180599999999999E-4</v>
      </c>
      <c r="L77" s="168">
        <v>0.6</v>
      </c>
      <c r="M77" s="104">
        <f t="shared" si="16"/>
        <v>6.3786325244161919</v>
      </c>
      <c r="N77" s="104">
        <f t="shared" si="22"/>
        <v>589.12154724999743</v>
      </c>
      <c r="O77" s="105">
        <v>581.3267538000855</v>
      </c>
      <c r="P77" s="105">
        <v>0.76662245754822167</v>
      </c>
      <c r="Q77" s="104">
        <f t="shared" si="17"/>
        <v>11.637644530917342</v>
      </c>
      <c r="R77" s="106">
        <f t="shared" si="23"/>
        <v>113283.01577914685</v>
      </c>
      <c r="S77" s="107">
        <v>112724.11215760518</v>
      </c>
      <c r="T77" s="104">
        <f t="shared" si="19"/>
        <v>1.7514401494406417</v>
      </c>
      <c r="U77" s="104">
        <f t="shared" si="20"/>
        <v>2.2559395622822498</v>
      </c>
    </row>
    <row r="78" spans="1:21">
      <c r="A78" s="7" t="s">
        <v>134</v>
      </c>
      <c r="B78" s="164">
        <v>108747</v>
      </c>
      <c r="C78" s="122">
        <f t="shared" si="15"/>
        <v>2.7951602230834593E-2</v>
      </c>
      <c r="D78" s="119">
        <v>39839</v>
      </c>
      <c r="E78" s="122">
        <f t="shared" si="25"/>
        <v>-1.1193844626458227E-2</v>
      </c>
      <c r="F78" s="7">
        <v>116198.96</v>
      </c>
      <c r="G78" s="7">
        <v>40908.36</v>
      </c>
      <c r="H78" s="165">
        <v>4.0770553052425385E-2</v>
      </c>
      <c r="I78" s="101">
        <f t="shared" si="24"/>
        <v>798458.57447448035</v>
      </c>
      <c r="J78" s="166">
        <v>0.78941399999999995</v>
      </c>
      <c r="K78" s="167">
        <f t="shared" si="21"/>
        <v>7.89414E-4</v>
      </c>
      <c r="L78" s="168">
        <v>0.6</v>
      </c>
      <c r="M78" s="104">
        <f t="shared" si="16"/>
        <v>6.3687624553826403</v>
      </c>
      <c r="N78" s="104">
        <f t="shared" si="22"/>
        <v>583.335478331638</v>
      </c>
      <c r="O78" s="105">
        <v>580.33708762042886</v>
      </c>
      <c r="P78" s="105">
        <v>0.76886396070802154</v>
      </c>
      <c r="Q78" s="104">
        <f t="shared" si="17"/>
        <v>11.642079729148426</v>
      </c>
      <c r="R78" s="106">
        <f t="shared" si="23"/>
        <v>113786.56425355299</v>
      </c>
      <c r="S78" s="107">
        <v>113151.34909089129</v>
      </c>
      <c r="T78" s="104">
        <f t="shared" si="19"/>
        <v>2.120105974086206</v>
      </c>
      <c r="U78" s="104">
        <f t="shared" si="20"/>
        <v>2.6933933475778993</v>
      </c>
    </row>
    <row r="79" spans="1:21">
      <c r="A79" s="7" t="s">
        <v>135</v>
      </c>
      <c r="B79" s="164">
        <v>117707</v>
      </c>
      <c r="C79" s="122">
        <f t="shared" si="15"/>
        <v>6.095868185751363E-2</v>
      </c>
      <c r="D79" s="119">
        <v>35780</v>
      </c>
      <c r="E79" s="122">
        <f t="shared" si="25"/>
        <v>0.13461233550023777</v>
      </c>
      <c r="F79" s="7">
        <v>117823.37</v>
      </c>
      <c r="G79" s="7">
        <v>39100.095999999998</v>
      </c>
      <c r="H79" s="165">
        <v>4.0770553052425385E-2</v>
      </c>
      <c r="I79" s="101">
        <f t="shared" si="24"/>
        <v>805005.07280370465</v>
      </c>
      <c r="J79" s="166">
        <v>0.79428299999999996</v>
      </c>
      <c r="K79" s="167">
        <f t="shared" si="21"/>
        <v>7.9428300000000001E-4</v>
      </c>
      <c r="L79" s="168">
        <v>0.6</v>
      </c>
      <c r="M79" s="104">
        <f t="shared" si="16"/>
        <v>6.3756896492590469</v>
      </c>
      <c r="N79" s="104">
        <f t="shared" si="22"/>
        <v>587.39038463118493</v>
      </c>
      <c r="O79" s="105">
        <v>579.6152280618702</v>
      </c>
      <c r="P79" s="105">
        <v>0.77057313414677775</v>
      </c>
      <c r="Q79" s="104">
        <f t="shared" si="17"/>
        <v>11.645433600130266</v>
      </c>
      <c r="R79" s="106">
        <f t="shared" si="23"/>
        <v>114168.8303868471</v>
      </c>
      <c r="S79" s="107">
        <v>113562.68414849426</v>
      </c>
      <c r="T79" s="104">
        <f t="shared" si="19"/>
        <v>3.200995929247874</v>
      </c>
      <c r="U79" s="104">
        <f t="shared" si="20"/>
        <v>3.7518361629551356</v>
      </c>
    </row>
    <row r="80" spans="1:21">
      <c r="A80" s="7" t="s">
        <v>136</v>
      </c>
      <c r="B80" s="164">
        <v>119971</v>
      </c>
      <c r="C80" s="122">
        <f t="shared" si="15"/>
        <v>4.3362177675349001E-2</v>
      </c>
      <c r="D80" s="119">
        <v>38808</v>
      </c>
      <c r="E80" s="122">
        <f t="shared" si="25"/>
        <v>0.20275212297774758</v>
      </c>
      <c r="F80" s="7">
        <v>118259.05</v>
      </c>
      <c r="G80" s="7">
        <v>42821.178</v>
      </c>
      <c r="H80" s="165">
        <v>4.0770553052425385E-2</v>
      </c>
      <c r="I80" s="101">
        <f t="shared" si="24"/>
        <v>815005.74877548963</v>
      </c>
      <c r="J80" s="166">
        <v>0.79954599999999998</v>
      </c>
      <c r="K80" s="167">
        <f t="shared" si="21"/>
        <v>7.9954599999999994E-4</v>
      </c>
      <c r="L80" s="168">
        <v>0.6</v>
      </c>
      <c r="M80" s="104">
        <f t="shared" si="16"/>
        <v>6.3704793852730699</v>
      </c>
      <c r="N80" s="104">
        <f t="shared" si="22"/>
        <v>584.33788473504671</v>
      </c>
      <c r="O80" s="105">
        <v>579.19791114909299</v>
      </c>
      <c r="P80" s="105">
        <v>0.77170400267724826</v>
      </c>
      <c r="Q80" s="104">
        <f t="shared" si="17"/>
        <v>11.650531881766872</v>
      </c>
      <c r="R80" s="106">
        <f t="shared" si="23"/>
        <v>114752.38152832107</v>
      </c>
      <c r="S80" s="107">
        <v>113962.61035616616</v>
      </c>
      <c r="T80" s="104">
        <f t="shared" si="19"/>
        <v>3.0558568153232546</v>
      </c>
      <c r="U80" s="104">
        <f t="shared" si="20"/>
        <v>3.7700432013677343</v>
      </c>
    </row>
    <row r="81" spans="1:21">
      <c r="A81" s="7" t="s">
        <v>137</v>
      </c>
      <c r="B81" s="164">
        <v>123964</v>
      </c>
      <c r="C81" s="122">
        <f t="shared" si="15"/>
        <v>2.4758409179211238E-2</v>
      </c>
      <c r="D81" s="119">
        <v>54499</v>
      </c>
      <c r="E81" s="122">
        <f t="shared" si="25"/>
        <v>6.2068831118213375E-2</v>
      </c>
      <c r="F81" s="7">
        <v>116837</v>
      </c>
      <c r="G81" s="7">
        <v>45810.188999999998</v>
      </c>
      <c r="H81" s="165">
        <v>4.0770553052425385E-2</v>
      </c>
      <c r="I81" s="101">
        <f t="shared" si="24"/>
        <v>827587.70265700691</v>
      </c>
      <c r="J81" s="166">
        <v>0.80736200000000002</v>
      </c>
      <c r="K81" s="167">
        <f t="shared" si="21"/>
        <v>8.0736200000000005E-4</v>
      </c>
      <c r="L81" s="168">
        <v>0.6</v>
      </c>
      <c r="M81" s="104">
        <f t="shared" si="16"/>
        <v>6.3464168155469043</v>
      </c>
      <c r="N81" s="104">
        <f t="shared" si="22"/>
        <v>570.4450328308327</v>
      </c>
      <c r="O81" s="105">
        <v>579.12673237963656</v>
      </c>
      <c r="P81" s="105">
        <v>0.7722254097783493</v>
      </c>
      <c r="Q81" s="104">
        <f t="shared" si="17"/>
        <v>11.656942207388653</v>
      </c>
      <c r="R81" s="106">
        <f t="shared" si="23"/>
        <v>115490.34442397532</v>
      </c>
      <c r="S81" s="107">
        <v>114358.28366831627</v>
      </c>
      <c r="T81" s="104">
        <f t="shared" si="19"/>
        <v>1.1660330417588849</v>
      </c>
      <c r="U81" s="104">
        <f t="shared" si="20"/>
        <v>2.1675004662303099</v>
      </c>
    </row>
    <row r="82" spans="1:21">
      <c r="A82" s="7" t="s">
        <v>138</v>
      </c>
      <c r="B82" s="164">
        <v>108403</v>
      </c>
      <c r="C82" s="122">
        <f t="shared" si="15"/>
        <v>-3.1633056544088101E-3</v>
      </c>
      <c r="D82" s="119">
        <v>36340</v>
      </c>
      <c r="E82" s="122">
        <f t="shared" si="25"/>
        <v>-8.7828509751750827E-2</v>
      </c>
      <c r="F82" s="7">
        <v>116435.85</v>
      </c>
      <c r="G82" s="7">
        <v>37735.966</v>
      </c>
      <c r="H82" s="165">
        <v>4.0770553052425385E-2</v>
      </c>
      <c r="I82" s="101">
        <f t="shared" si="24"/>
        <v>831582.4603202946</v>
      </c>
      <c r="J82" s="166">
        <v>0.81110599999999999</v>
      </c>
      <c r="K82" s="167">
        <f t="shared" si="21"/>
        <v>8.1110600000000002E-4</v>
      </c>
      <c r="L82" s="168">
        <v>0.6</v>
      </c>
      <c r="M82" s="104">
        <f t="shared" si="16"/>
        <v>6.3382753775910103</v>
      </c>
      <c r="N82" s="104">
        <f t="shared" si="22"/>
        <v>565.81964419478959</v>
      </c>
      <c r="O82" s="105">
        <v>579.44649973453147</v>
      </c>
      <c r="P82" s="105">
        <v>0.77212360017732384</v>
      </c>
      <c r="Q82" s="104">
        <f t="shared" si="17"/>
        <v>11.659341251646936</v>
      </c>
      <c r="R82" s="106">
        <f t="shared" si="23"/>
        <v>115767.74348491945</v>
      </c>
      <c r="S82" s="107">
        <v>114759.5453141313</v>
      </c>
      <c r="T82" s="104">
        <f t="shared" si="19"/>
        <v>0.57710938726864836</v>
      </c>
      <c r="U82" s="104">
        <f t="shared" si="20"/>
        <v>1.4607104631515933</v>
      </c>
    </row>
    <row r="83" spans="1:21">
      <c r="A83" s="7" t="s">
        <v>139</v>
      </c>
      <c r="B83" s="164">
        <v>99561</v>
      </c>
      <c r="C83" s="122">
        <f t="shared" si="15"/>
        <v>-0.15416245422957009</v>
      </c>
      <c r="D83" s="119">
        <v>21170</v>
      </c>
      <c r="E83" s="122">
        <f t="shared" si="25"/>
        <v>-0.40832867523756289</v>
      </c>
      <c r="F83" s="7">
        <v>100451.96</v>
      </c>
      <c r="G83" s="7">
        <v>24488.807000000001</v>
      </c>
      <c r="H83" s="165">
        <v>4.0770553052425385E-2</v>
      </c>
      <c r="I83" s="101">
        <f t="shared" si="24"/>
        <v>822167.19050433964</v>
      </c>
      <c r="J83" s="166">
        <v>0.79341600000000001</v>
      </c>
      <c r="K83" s="167">
        <f t="shared" si="21"/>
        <v>7.9341600000000002E-4</v>
      </c>
      <c r="L83" s="168">
        <v>0.6</v>
      </c>
      <c r="M83" s="104">
        <f t="shared" si="16"/>
        <v>6.2083998258352295</v>
      </c>
      <c r="N83" s="104">
        <f t="shared" si="22"/>
        <v>496.90547945928535</v>
      </c>
      <c r="O83" s="105">
        <v>580.19659513259035</v>
      </c>
      <c r="P83" s="105">
        <v>0.77140677897030341</v>
      </c>
      <c r="Q83" s="104">
        <f t="shared" si="17"/>
        <v>11.655522955264619</v>
      </c>
      <c r="R83" s="106">
        <f t="shared" si="23"/>
        <v>115326.55076708771</v>
      </c>
      <c r="S83" s="107">
        <v>115177.78572050523</v>
      </c>
      <c r="T83" s="104">
        <f t="shared" si="19"/>
        <v>-12.897802516549961</v>
      </c>
      <c r="U83" s="104">
        <f t="shared" si="20"/>
        <v>-12.785300245517362</v>
      </c>
    </row>
    <row r="84" spans="1:21">
      <c r="A84" s="7" t="s">
        <v>140</v>
      </c>
      <c r="B84" s="164">
        <v>114754</v>
      </c>
      <c r="C84" s="122">
        <f t="shared" si="15"/>
        <v>-4.3485508998007849E-2</v>
      </c>
      <c r="D84" s="119">
        <v>38081</v>
      </c>
      <c r="E84" s="122">
        <f t="shared" si="25"/>
        <v>-1.8733250876107999E-2</v>
      </c>
      <c r="F84" s="7">
        <v>114996.57</v>
      </c>
      <c r="G84" s="7">
        <v>42150.288999999997</v>
      </c>
      <c r="H84" s="165">
        <v>4.0770553052425385E-2</v>
      </c>
      <c r="I84" s="101">
        <f t="shared" si="24"/>
        <v>830797.26844591892</v>
      </c>
      <c r="J84" s="166">
        <v>0.78556099999999995</v>
      </c>
      <c r="K84" s="167">
        <f t="shared" si="21"/>
        <v>7.8556099999999994E-4</v>
      </c>
      <c r="L84" s="168">
        <v>0.6</v>
      </c>
      <c r="M84" s="104">
        <f t="shared" si="16"/>
        <v>6.345415447621356</v>
      </c>
      <c r="N84" s="104">
        <f t="shared" si="22"/>
        <v>569.87409337960298</v>
      </c>
      <c r="O84" s="105">
        <v>581.40788370791347</v>
      </c>
      <c r="P84" s="105">
        <v>0.77010751525330878</v>
      </c>
      <c r="Q84" s="104">
        <f t="shared" si="17"/>
        <v>11.660773894939837</v>
      </c>
      <c r="R84" s="106">
        <f t="shared" si="23"/>
        <v>115933.71622763795</v>
      </c>
      <c r="S84" s="107">
        <v>115625.44300476073</v>
      </c>
      <c r="T84" s="104">
        <f t="shared" si="19"/>
        <v>-0.80834657779609298</v>
      </c>
      <c r="U84" s="104">
        <f t="shared" si="20"/>
        <v>-0.5438880824308101</v>
      </c>
    </row>
    <row r="85" spans="1:21">
      <c r="A85" s="7" t="s">
        <v>141</v>
      </c>
      <c r="B85" s="164">
        <v>125618</v>
      </c>
      <c r="C85" s="122">
        <f t="shared" si="15"/>
        <v>1.334258333064442E-2</v>
      </c>
      <c r="D85" s="119">
        <v>47812</v>
      </c>
      <c r="E85" s="122">
        <f t="shared" si="25"/>
        <v>-0.12269949907337752</v>
      </c>
      <c r="F85" s="7">
        <v>116182.87</v>
      </c>
      <c r="G85" s="7">
        <v>38922.67</v>
      </c>
      <c r="H85" s="165">
        <v>4.0770553052425385E-2</v>
      </c>
      <c r="I85" s="101">
        <f t="shared" si="24"/>
        <v>835847.87433693453</v>
      </c>
      <c r="J85" s="166">
        <v>0.78955200000000003</v>
      </c>
      <c r="K85" s="167">
        <f t="shared" si="21"/>
        <v>7.8955200000000001E-4</v>
      </c>
      <c r="L85" s="168">
        <v>0.6</v>
      </c>
      <c r="M85" s="104">
        <f t="shared" si="16"/>
        <v>6.3502136812741083</v>
      </c>
      <c r="N85" s="104">
        <f t="shared" si="22"/>
        <v>572.61505305600076</v>
      </c>
      <c r="O85" s="105">
        <v>583.05917364730544</v>
      </c>
      <c r="P85" s="105">
        <v>0.76827213388550442</v>
      </c>
      <c r="Q85" s="104">
        <f t="shared" si="17"/>
        <v>11.664602681981101</v>
      </c>
      <c r="R85" s="106">
        <f t="shared" si="23"/>
        <v>116378.45259509119</v>
      </c>
      <c r="S85" s="107">
        <v>116105.75164314518</v>
      </c>
      <c r="T85" s="104">
        <f t="shared" si="19"/>
        <v>-0.16805739441447809</v>
      </c>
      <c r="U85" s="104">
        <f t="shared" si="20"/>
        <v>6.6420789464283203E-2</v>
      </c>
    </row>
    <row r="86" spans="1:21">
      <c r="A86" s="7" t="s">
        <v>142</v>
      </c>
      <c r="B86" s="164">
        <v>108463</v>
      </c>
      <c r="C86" s="122">
        <f t="shared" si="15"/>
        <v>5.5349021706030399E-4</v>
      </c>
      <c r="D86" s="119">
        <v>30713</v>
      </c>
      <c r="E86" s="122">
        <f t="shared" si="25"/>
        <v>-0.15484314804623001</v>
      </c>
      <c r="F86" s="7">
        <v>115884.3</v>
      </c>
      <c r="G86" s="7">
        <v>32195.686000000002</v>
      </c>
      <c r="H86" s="165">
        <v>4.0770553052425385E-2</v>
      </c>
      <c r="I86" s="101">
        <f t="shared" si="24"/>
        <v>833965.5802325235</v>
      </c>
      <c r="J86" s="166">
        <v>0.79312099999999996</v>
      </c>
      <c r="K86" s="167">
        <f t="shared" si="21"/>
        <v>7.9312099999999993E-4</v>
      </c>
      <c r="L86" s="168">
        <v>0.6</v>
      </c>
      <c r="M86" s="104">
        <f t="shared" si="16"/>
        <v>6.3458362849537835</v>
      </c>
      <c r="N86" s="104">
        <f t="shared" si="22"/>
        <v>570.11396814346801</v>
      </c>
      <c r="O86" s="105">
        <v>585.1220645186155</v>
      </c>
      <c r="P86" s="105">
        <v>0.76595661815402127</v>
      </c>
      <c r="Q86" s="104">
        <f t="shared" si="17"/>
        <v>11.665421599611253</v>
      </c>
      <c r="R86" s="106">
        <f t="shared" si="23"/>
        <v>116473.7959955586</v>
      </c>
      <c r="S86" s="107">
        <v>116621.55306627795</v>
      </c>
      <c r="T86" s="104">
        <f t="shared" si="19"/>
        <v>-0.5061189862662907</v>
      </c>
      <c r="U86" s="104">
        <f t="shared" si="20"/>
        <v>-0.63217565440837342</v>
      </c>
    </row>
    <row r="87" spans="1:21">
      <c r="A87" s="7" t="s">
        <v>143</v>
      </c>
      <c r="B87" s="164">
        <v>114017</v>
      </c>
      <c r="C87" s="122">
        <f t="shared" si="15"/>
        <v>0.14519741665913366</v>
      </c>
      <c r="D87" s="119">
        <v>28619</v>
      </c>
      <c r="E87" s="122">
        <f t="shared" si="25"/>
        <v>0.35186584789796882</v>
      </c>
      <c r="F87" s="7">
        <v>115734.57</v>
      </c>
      <c r="G87" s="7">
        <v>31857.198</v>
      </c>
      <c r="H87" s="165">
        <v>4.0770553052425385E-2</v>
      </c>
      <c r="I87" s="101">
        <f t="shared" si="24"/>
        <v>831821.54029975669</v>
      </c>
      <c r="J87" s="166">
        <v>0.79527099999999995</v>
      </c>
      <c r="K87" s="167">
        <f t="shared" si="21"/>
        <v>7.9527099999999996E-4</v>
      </c>
      <c r="L87" s="168">
        <v>0.6</v>
      </c>
      <c r="M87" s="104">
        <f t="shared" si="16"/>
        <v>6.3439487828881296</v>
      </c>
      <c r="N87" s="104">
        <f t="shared" si="22"/>
        <v>569.03889177455062</v>
      </c>
      <c r="O87" s="105">
        <v>587.56162831432323</v>
      </c>
      <c r="P87" s="105">
        <v>0.76323025126231181</v>
      </c>
      <c r="Q87" s="104">
        <f t="shared" si="17"/>
        <v>11.666413107219565</v>
      </c>
      <c r="R87" s="106">
        <f t="shared" si="23"/>
        <v>116589.33792134075</v>
      </c>
      <c r="S87" s="107">
        <v>117175.73690375144</v>
      </c>
      <c r="T87" s="104">
        <f t="shared" si="19"/>
        <v>-0.73314415930333388</v>
      </c>
      <c r="U87" s="104">
        <f t="shared" si="20"/>
        <v>-1.2299192152170679</v>
      </c>
    </row>
    <row r="88" spans="1:21">
      <c r="A88" s="7" t="s">
        <v>144</v>
      </c>
      <c r="B88" s="164">
        <v>116382</v>
      </c>
      <c r="C88" s="122">
        <f t="shared" si="15"/>
        <v>1.4186869303030925E-2</v>
      </c>
      <c r="D88" s="119">
        <v>33793</v>
      </c>
      <c r="E88" s="122">
        <f t="shared" si="25"/>
        <v>-0.11260208502927971</v>
      </c>
      <c r="F88" s="7">
        <v>117028.59</v>
      </c>
      <c r="G88" s="7">
        <v>38126.949999999997</v>
      </c>
      <c r="H88" s="165">
        <v>4.0770553052425385E-2</v>
      </c>
      <c r="I88" s="101">
        <f t="shared" si="24"/>
        <v>836034.66606081522</v>
      </c>
      <c r="J88" s="166">
        <v>0.79668099999999997</v>
      </c>
      <c r="K88" s="167">
        <f t="shared" si="21"/>
        <v>7.9668099999999993E-4</v>
      </c>
      <c r="L88" s="168">
        <v>0.6</v>
      </c>
      <c r="M88" s="104">
        <f t="shared" si="16"/>
        <v>6.3519839585414859</v>
      </c>
      <c r="N88" s="104">
        <f t="shared" si="22"/>
        <v>573.62963825097142</v>
      </c>
      <c r="O88" s="105">
        <v>590.33355696667365</v>
      </c>
      <c r="P88" s="105">
        <v>0.76017929415248209</v>
      </c>
      <c r="Q88" s="104">
        <f t="shared" si="17"/>
        <v>11.670737294955158</v>
      </c>
      <c r="R88" s="106">
        <f t="shared" si="23"/>
        <v>117094.58370801606</v>
      </c>
      <c r="S88" s="107">
        <v>117770.73200199161</v>
      </c>
      <c r="T88" s="104">
        <f t="shared" si="19"/>
        <v>-5.6359317336673875E-2</v>
      </c>
      <c r="U88" s="104">
        <f t="shared" si="20"/>
        <v>-0.63015826545007592</v>
      </c>
    </row>
    <row r="89" spans="1:21">
      <c r="A89" s="7" t="s">
        <v>145</v>
      </c>
      <c r="B89" s="164">
        <v>127100</v>
      </c>
      <c r="C89" s="122">
        <f t="shared" si="15"/>
        <v>1.1797672308108798E-2</v>
      </c>
      <c r="D89" s="119">
        <v>52663</v>
      </c>
      <c r="E89" s="122">
        <f t="shared" si="25"/>
        <v>0.1014598845478123</v>
      </c>
      <c r="F89" s="7">
        <v>117785.32</v>
      </c>
      <c r="G89" s="7">
        <v>43748.375999999997</v>
      </c>
      <c r="H89" s="165">
        <v>4.0770553052425385E-2</v>
      </c>
      <c r="I89" s="101">
        <f t="shared" si="24"/>
        <v>845697.44635451608</v>
      </c>
      <c r="J89" s="166">
        <v>0.79527599999999998</v>
      </c>
      <c r="K89" s="167">
        <f t="shared" si="21"/>
        <v>7.9527600000000003E-4</v>
      </c>
      <c r="L89" s="168">
        <v>0.6</v>
      </c>
      <c r="M89" s="104">
        <f t="shared" si="16"/>
        <v>6.354891778816536</v>
      </c>
      <c r="N89" s="104">
        <f t="shared" si="22"/>
        <v>575.30007763518017</v>
      </c>
      <c r="O89" s="105">
        <v>593.3819656975744</v>
      </c>
      <c r="P89" s="105">
        <v>0.75691003323459916</v>
      </c>
      <c r="Q89" s="104">
        <f t="shared" si="17"/>
        <v>11.677898566961865</v>
      </c>
      <c r="R89" s="106">
        <f t="shared" si="23"/>
        <v>117936.1395812063</v>
      </c>
      <c r="S89" s="107">
        <v>118408.06647810953</v>
      </c>
      <c r="T89" s="104">
        <f t="shared" si="19"/>
        <v>-0.12788241309394932</v>
      </c>
      <c r="U89" s="104">
        <f t="shared" si="20"/>
        <v>-0.52593247794029407</v>
      </c>
    </row>
    <row r="90" spans="1:21">
      <c r="A90" s="7" t="s">
        <v>146</v>
      </c>
      <c r="B90" s="164">
        <v>110891</v>
      </c>
      <c r="C90" s="122">
        <f t="shared" si="15"/>
        <v>2.2385513954067182E-2</v>
      </c>
      <c r="D90" s="119">
        <v>40484</v>
      </c>
      <c r="E90" s="122">
        <f t="shared" si="25"/>
        <v>0.31813889883762569</v>
      </c>
      <c r="F90" s="7">
        <v>118165.3</v>
      </c>
      <c r="G90" s="7">
        <v>41833.752999999997</v>
      </c>
      <c r="H90" s="165">
        <v>4.0770553052425385E-2</v>
      </c>
      <c r="I90" s="101">
        <f t="shared" si="24"/>
        <v>853051.64675161859</v>
      </c>
      <c r="J90" s="166">
        <v>0.69184199999999996</v>
      </c>
      <c r="K90" s="167">
        <f t="shared" si="21"/>
        <v>6.9184199999999991E-4</v>
      </c>
      <c r="L90" s="168">
        <v>0.6</v>
      </c>
      <c r="M90" s="104">
        <f t="shared" si="16"/>
        <v>6.4382482257825409</v>
      </c>
      <c r="N90" s="104">
        <f t="shared" si="22"/>
        <v>625.31043710027188</v>
      </c>
      <c r="O90" s="105">
        <v>596.64052977973574</v>
      </c>
      <c r="P90" s="105">
        <v>0.75355156848488469</v>
      </c>
      <c r="Q90" s="104">
        <f t="shared" si="17"/>
        <v>11.684170258305871</v>
      </c>
      <c r="R90" s="106">
        <f t="shared" si="23"/>
        <v>118678.12296022782</v>
      </c>
      <c r="S90" s="107">
        <v>119088.80461046504</v>
      </c>
      <c r="T90" s="104">
        <f t="shared" si="19"/>
        <v>-0.43211246305241424</v>
      </c>
      <c r="U90" s="104">
        <f t="shared" si="20"/>
        <v>-0.77547559024191415</v>
      </c>
    </row>
    <row r="91" spans="1:21">
      <c r="A91" s="7" t="s">
        <v>147</v>
      </c>
      <c r="B91" s="164">
        <v>118565</v>
      </c>
      <c r="C91" s="122">
        <f t="shared" si="15"/>
        <v>3.9888788513993578E-2</v>
      </c>
      <c r="D91" s="119">
        <v>40502</v>
      </c>
      <c r="E91" s="122">
        <f t="shared" si="25"/>
        <v>0.41521366924071423</v>
      </c>
      <c r="F91" s="7">
        <v>119194.94</v>
      </c>
      <c r="G91" s="7">
        <v>43429.82</v>
      </c>
      <c r="H91" s="165">
        <v>4.0770553052425385E-2</v>
      </c>
      <c r="I91" s="101">
        <f t="shared" si="24"/>
        <v>861702.07933127286</v>
      </c>
      <c r="J91" s="166">
        <v>0.69317700000000004</v>
      </c>
      <c r="K91" s="167">
        <f t="shared" si="21"/>
        <v>6.9317700000000001E-4</v>
      </c>
      <c r="L91" s="168">
        <v>0.6</v>
      </c>
      <c r="M91" s="104">
        <f t="shared" si="16"/>
        <v>6.4417315740243737</v>
      </c>
      <c r="N91" s="104">
        <f t="shared" si="22"/>
        <v>627.49240918998078</v>
      </c>
      <c r="O91" s="105">
        <v>600.03162330582916</v>
      </c>
      <c r="P91" s="105">
        <v>0.75025697860878893</v>
      </c>
      <c r="Q91" s="104">
        <f t="shared" si="17"/>
        <v>11.691244613253517</v>
      </c>
      <c r="R91" s="106">
        <f t="shared" si="23"/>
        <v>119520.67085412169</v>
      </c>
      <c r="S91" s="107">
        <v>119813.62146086921</v>
      </c>
      <c r="T91" s="104">
        <f t="shared" si="19"/>
        <v>-0.2725309787787733</v>
      </c>
      <c r="U91" s="104">
        <f t="shared" si="20"/>
        <v>-0.51636988626645453</v>
      </c>
    </row>
    <row r="92" spans="1:21">
      <c r="A92" s="7" t="s">
        <v>148</v>
      </c>
      <c r="B92" s="164">
        <v>118656</v>
      </c>
      <c r="C92" s="122">
        <f t="shared" si="15"/>
        <v>1.953910398515224E-2</v>
      </c>
      <c r="D92" s="119">
        <v>36819</v>
      </c>
      <c r="E92" s="122">
        <f t="shared" si="25"/>
        <v>8.9545172077057478E-2</v>
      </c>
      <c r="F92" s="7">
        <v>119505.64</v>
      </c>
      <c r="G92" s="7">
        <v>41460.498</v>
      </c>
      <c r="H92" s="165">
        <v>4.0770553052425385E-2</v>
      </c>
      <c r="I92" s="101">
        <f t="shared" si="24"/>
        <v>868030.5069905119</v>
      </c>
      <c r="J92" s="166">
        <v>0.69306199999999996</v>
      </c>
      <c r="K92" s="167">
        <f t="shared" si="21"/>
        <v>6.9306199999999993E-4</v>
      </c>
      <c r="L92" s="168">
        <v>0.6</v>
      </c>
      <c r="M92" s="104">
        <f t="shared" si="16"/>
        <v>6.4415074807845452</v>
      </c>
      <c r="N92" s="104">
        <f t="shared" si="22"/>
        <v>627.35180813749867</v>
      </c>
      <c r="O92" s="105">
        <v>603.49553906060146</v>
      </c>
      <c r="P92" s="105">
        <v>0.74714077383145905</v>
      </c>
      <c r="Q92" s="104">
        <f t="shared" si="17"/>
        <v>11.697430508848949</v>
      </c>
      <c r="R92" s="106">
        <f t="shared" si="23"/>
        <v>120262.30471543717</v>
      </c>
      <c r="S92" s="107">
        <v>120582.61490075155</v>
      </c>
      <c r="T92" s="104">
        <f t="shared" si="19"/>
        <v>-0.62917862519563661</v>
      </c>
      <c r="U92" s="104">
        <f t="shared" si="20"/>
        <v>-0.89314276493173139</v>
      </c>
    </row>
    <row r="93" spans="1:21">
      <c r="A93" s="7" t="s">
        <v>149</v>
      </c>
      <c r="B93" s="164">
        <v>127853</v>
      </c>
      <c r="C93" s="122">
        <f t="shared" si="15"/>
        <v>5.9244689221085167E-3</v>
      </c>
      <c r="D93" s="119">
        <v>49890</v>
      </c>
      <c r="E93" s="122">
        <f t="shared" si="25"/>
        <v>-5.2655564627917095E-2</v>
      </c>
      <c r="F93" s="7">
        <v>120015.12</v>
      </c>
      <c r="G93" s="7">
        <v>41173.264999999999</v>
      </c>
      <c r="H93" s="165">
        <v>4.0770553052425385E-2</v>
      </c>
      <c r="I93" s="101">
        <f t="shared" si="24"/>
        <v>873813.68815413152</v>
      </c>
      <c r="J93" s="166">
        <v>0.69005300000000003</v>
      </c>
      <c r="K93" s="167">
        <f t="shared" si="21"/>
        <v>6.9005300000000004E-4</v>
      </c>
      <c r="L93" s="168">
        <v>0.6</v>
      </c>
      <c r="M93" s="104">
        <f t="shared" si="16"/>
        <v>6.4457161532887222</v>
      </c>
      <c r="N93" s="104">
        <f t="shared" si="22"/>
        <v>629.99769036321425</v>
      </c>
      <c r="O93" s="105">
        <v>606.98973281997689</v>
      </c>
      <c r="P93" s="105">
        <v>0.74428178939141176</v>
      </c>
      <c r="Q93" s="104">
        <f t="shared" si="17"/>
        <v>11.703559520468458</v>
      </c>
      <c r="R93" s="106">
        <f>EXP(Q93)</f>
        <v>121001.65721398764</v>
      </c>
      <c r="S93" s="107">
        <v>121395.49612562852</v>
      </c>
      <c r="T93" s="104">
        <f t="shared" si="19"/>
        <v>-0.8153088451036461</v>
      </c>
      <c r="U93" s="104">
        <f t="shared" si="20"/>
        <v>-1.1370900648571158</v>
      </c>
    </row>
    <row r="94" spans="1:21">
      <c r="A94" s="199" t="s">
        <v>245</v>
      </c>
      <c r="B94" s="200">
        <f>B90+(B90*$C$94)</f>
        <v>114106.83900000001</v>
      </c>
      <c r="C94" s="201">
        <v>2.9000000000000001E-2</v>
      </c>
      <c r="D94" s="200">
        <f>D90+(D90*$E$94)</f>
        <v>42548.684000000001</v>
      </c>
      <c r="E94" s="201">
        <v>5.0999999999999997E-2</v>
      </c>
      <c r="F94" s="200">
        <v>121081.24</v>
      </c>
      <c r="G94" s="200">
        <v>43757.19</v>
      </c>
      <c r="H94" s="202">
        <v>4.0770553052425385E-2</v>
      </c>
      <c r="I94" s="203">
        <f>I93*(1-H94)+G94</f>
        <v>881945.01082330802</v>
      </c>
      <c r="J94" s="204">
        <f>J90+(J93*3.1%)</f>
        <v>0.71323364299999992</v>
      </c>
      <c r="K94" s="199"/>
      <c r="L94" s="199">
        <v>0.6</v>
      </c>
      <c r="M94" s="204">
        <f t="shared" si="16"/>
        <v>6.4310307427527285</v>
      </c>
      <c r="N94" s="204">
        <f t="shared" si="22"/>
        <v>620.81351737417538</v>
      </c>
      <c r="O94" s="204">
        <v>610.48657052805288</v>
      </c>
      <c r="P94" s="204">
        <v>0.74172506129351912</v>
      </c>
      <c r="Q94" s="204">
        <f t="shared" si="17"/>
        <v>11.7109443055352</v>
      </c>
      <c r="R94" s="204">
        <f t="shared" ref="R94:R105" si="26">EXP(Q94)</f>
        <v>121898.53599781689</v>
      </c>
      <c r="S94" s="204">
        <v>122251.30322170361</v>
      </c>
      <c r="T94" s="204">
        <f t="shared" si="19"/>
        <v>-0.67047236550200617</v>
      </c>
      <c r="U94" s="208">
        <f t="shared" si="20"/>
        <v>-0.95709672688043534</v>
      </c>
    </row>
    <row r="95" spans="1:21">
      <c r="A95" s="199" t="s">
        <v>246</v>
      </c>
      <c r="B95" s="200">
        <f t="shared" ref="B95:B97" si="27">B91+(B91*$C$94)</f>
        <v>122003.38499999999</v>
      </c>
      <c r="C95" s="205">
        <f>B95/B91-1</f>
        <v>2.8999999999999915E-2</v>
      </c>
      <c r="D95" s="200">
        <f t="shared" ref="D95:D97" si="28">D91+(D91*$E$94)</f>
        <v>42567.601999999999</v>
      </c>
      <c r="E95" s="205">
        <f>D95/D91-1</f>
        <v>5.0999999999999934E-2</v>
      </c>
      <c r="F95" s="200">
        <v>122006.53</v>
      </c>
      <c r="G95" s="200">
        <v>45214.550999999999</v>
      </c>
      <c r="H95" s="202">
        <v>4.0770553052425385E-2</v>
      </c>
      <c r="I95" s="203">
        <f t="shared" ref="I95:I105" si="29">I94*(1-H95)+G95</f>
        <v>891202.17597021442</v>
      </c>
      <c r="J95" s="204">
        <f t="shared" ref="J95:J97" si="30">J91+(J94*3.1%)</f>
        <v>0.71528724293300006</v>
      </c>
      <c r="K95" s="201"/>
      <c r="L95" s="199">
        <v>0.6</v>
      </c>
      <c r="M95" s="204">
        <f t="shared" si="16"/>
        <v>6.4327418581223128</v>
      </c>
      <c r="N95" s="204">
        <f t="shared" si="22"/>
        <v>621.876710288857</v>
      </c>
      <c r="O95" s="204">
        <v>613.97279810239138</v>
      </c>
      <c r="P95" s="204">
        <v>0.7394817325492834</v>
      </c>
      <c r="Q95" s="204">
        <f t="shared" si="17"/>
        <v>11.718997840566232</v>
      </c>
      <c r="R95" s="204">
        <f t="shared" si="26"/>
        <v>122884.21389591137</v>
      </c>
      <c r="S95" s="204">
        <v>123148.21154010179</v>
      </c>
      <c r="T95" s="204">
        <f t="shared" si="19"/>
        <v>-0.71423648985117216</v>
      </c>
      <c r="U95" s="208">
        <f t="shared" si="20"/>
        <v>-0.92707926962465326</v>
      </c>
    </row>
    <row r="96" spans="1:21">
      <c r="A96" s="199" t="s">
        <v>247</v>
      </c>
      <c r="B96" s="200">
        <f t="shared" si="27"/>
        <v>122097.024</v>
      </c>
      <c r="C96" s="205">
        <f t="shared" ref="C96:C97" si="31">B96/B92-1</f>
        <v>2.9000000000000137E-2</v>
      </c>
      <c r="D96" s="200">
        <f t="shared" si="28"/>
        <v>38696.769</v>
      </c>
      <c r="E96" s="205">
        <f t="shared" ref="E96:E97" si="32">D96/D92-1</f>
        <v>5.0999999999999934E-2</v>
      </c>
      <c r="F96" s="200">
        <v>123059.84</v>
      </c>
      <c r="G96" s="200">
        <v>43567.118000000002</v>
      </c>
      <c r="H96" s="202">
        <v>4.0770553052425385E-2</v>
      </c>
      <c r="I96" s="203">
        <f t="shared" si="29"/>
        <v>898434.48837438389</v>
      </c>
      <c r="J96" s="204">
        <f t="shared" si="30"/>
        <v>0.71523590453092301</v>
      </c>
      <c r="K96" s="206"/>
      <c r="L96" s="199">
        <v>0.6</v>
      </c>
      <c r="M96" s="204">
        <f t="shared" si="16"/>
        <v>6.4381481045610194</v>
      </c>
      <c r="N96" s="204">
        <f t="shared" si="22"/>
        <v>625.24783338951158</v>
      </c>
      <c r="O96" s="204">
        <v>617.44161580233288</v>
      </c>
      <c r="P96" s="204">
        <v>0.73754513903377328</v>
      </c>
      <c r="Q96" s="204">
        <f t="shared" si="17"/>
        <v>11.726291350553947</v>
      </c>
      <c r="R96" s="204">
        <f t="shared" si="26"/>
        <v>123783.74752848475</v>
      </c>
      <c r="S96" s="204">
        <v>124083.66514243445</v>
      </c>
      <c r="T96" s="204">
        <f t="shared" si="19"/>
        <v>-0.58481629691988779</v>
      </c>
      <c r="U96" s="208">
        <f t="shared" si="20"/>
        <v>-0.82510872100627353</v>
      </c>
    </row>
    <row r="97" spans="1:21">
      <c r="A97" s="199" t="s">
        <v>248</v>
      </c>
      <c r="B97" s="200">
        <f t="shared" si="27"/>
        <v>131560.73699999999</v>
      </c>
      <c r="C97" s="205">
        <f t="shared" si="31"/>
        <v>2.8999999999999915E-2</v>
      </c>
      <c r="D97" s="200">
        <f t="shared" si="28"/>
        <v>52434.39</v>
      </c>
      <c r="E97" s="205">
        <f t="shared" si="32"/>
        <v>5.0999999999999934E-2</v>
      </c>
      <c r="F97" s="200">
        <v>124203.56</v>
      </c>
      <c r="G97" s="200">
        <v>43839.449000000001</v>
      </c>
      <c r="H97" s="202">
        <v>4.0770553052425385E-2</v>
      </c>
      <c r="I97" s="203">
        <f t="shared" si="29"/>
        <v>905644.26640198741</v>
      </c>
      <c r="J97" s="204">
        <f t="shared" si="30"/>
        <v>0.71222531304045866</v>
      </c>
      <c r="K97" s="199"/>
      <c r="L97" s="199">
        <v>0.6</v>
      </c>
      <c r="M97" s="204">
        <f t="shared" si="16"/>
        <v>6.4467329451629114</v>
      </c>
      <c r="N97" s="204">
        <f t="shared" si="22"/>
        <v>630.63859267244641</v>
      </c>
      <c r="O97" s="204">
        <v>620.89116383233454</v>
      </c>
      <c r="P97" s="204">
        <v>0.7358934950660474</v>
      </c>
      <c r="Q97" s="204">
        <f t="shared" si="17"/>
        <v>11.733714626327668</v>
      </c>
      <c r="R97" s="204">
        <f t="shared" si="26"/>
        <v>124706.04743067751</v>
      </c>
      <c r="S97" s="204">
        <v>125054.39453935038</v>
      </c>
      <c r="T97" s="204">
        <f>(F97/R97-1)*100</f>
        <v>-0.4029375006507574</v>
      </c>
      <c r="U97" s="208">
        <f t="shared" si="20"/>
        <v>-0.68037156349803896</v>
      </c>
    </row>
    <row r="98" spans="1:21">
      <c r="A98" s="199" t="s">
        <v>249</v>
      </c>
      <c r="B98" s="200">
        <f>B94+(B94*$C$98)</f>
        <v>118785.21939900001</v>
      </c>
      <c r="C98" s="201">
        <v>4.1000000000000002E-2</v>
      </c>
      <c r="D98" s="200">
        <f>D94+(D94*$E$98)</f>
        <v>45867.481352000003</v>
      </c>
      <c r="E98" s="201">
        <v>7.8E-2</v>
      </c>
      <c r="F98" s="200">
        <v>125504.29</v>
      </c>
      <c r="G98" s="200">
        <v>46979.576999999997</v>
      </c>
      <c r="H98" s="202">
        <v>4.0770553052425385E-2</v>
      </c>
      <c r="I98" s="203">
        <f t="shared" si="29"/>
        <v>915700.22579202033</v>
      </c>
      <c r="J98" s="204">
        <f>J94+(J94*3.8%)</f>
        <v>0.74033652143399986</v>
      </c>
      <c r="K98" s="199"/>
      <c r="L98" s="199">
        <v>0.6</v>
      </c>
      <c r="M98" s="204">
        <f t="shared" si="16"/>
        <v>6.4295077524433522</v>
      </c>
      <c r="N98" s="204">
        <f t="shared" si="22"/>
        <v>619.86874402622823</v>
      </c>
      <c r="O98" s="204">
        <v>624.32446128284562</v>
      </c>
      <c r="P98" s="204">
        <v>0.73449107169360006</v>
      </c>
      <c r="Q98" s="204">
        <f t="shared" si="17"/>
        <v>11.742501470066065</v>
      </c>
      <c r="R98" s="204">
        <f t="shared" si="26"/>
        <v>125806.6483053219</v>
      </c>
      <c r="S98" s="204">
        <v>126056.49035078441</v>
      </c>
      <c r="T98" s="204">
        <f t="shared" si="19"/>
        <v>-0.24033571309213242</v>
      </c>
      <c r="U98" s="208">
        <f t="shared" si="20"/>
        <v>-0.43805784949888515</v>
      </c>
    </row>
    <row r="99" spans="1:21">
      <c r="A99" s="199" t="s">
        <v>250</v>
      </c>
      <c r="B99" s="200">
        <f t="shared" ref="B99:B101" si="33">B95+(B95*$C$98)</f>
        <v>127005.523785</v>
      </c>
      <c r="C99" s="205">
        <f>B99/B95-1</f>
        <v>4.0999999999999925E-2</v>
      </c>
      <c r="D99" s="200">
        <f t="shared" ref="D99:D101" si="34">D95+(D95*$E$98)</f>
        <v>45887.874956</v>
      </c>
      <c r="E99" s="205">
        <f>D99/D95-1</f>
        <v>7.8000000000000069E-2</v>
      </c>
      <c r="F99" s="200">
        <v>126830.78</v>
      </c>
      <c r="G99" s="200">
        <v>48358.239000000001</v>
      </c>
      <c r="H99" s="202">
        <v>4.0770553052425385E-2</v>
      </c>
      <c r="I99" s="203">
        <f t="shared" si="29"/>
        <v>926724.86015624879</v>
      </c>
      <c r="J99" s="204">
        <f t="shared" ref="J99:J101" si="35">J95+(J95*3.8%)</f>
        <v>0.74246815816445411</v>
      </c>
      <c r="K99" s="199"/>
      <c r="L99" s="199">
        <v>0.6</v>
      </c>
      <c r="M99" s="204">
        <f t="shared" si="16"/>
        <v>6.433509414815509</v>
      </c>
      <c r="N99" s="204">
        <f t="shared" si="22"/>
        <v>622.35421915430152</v>
      </c>
      <c r="O99" s="204">
        <v>627.75061938734041</v>
      </c>
      <c r="P99" s="204">
        <v>0.73328734735015977</v>
      </c>
      <c r="Q99" s="204">
        <f t="shared" si="17"/>
        <v>11.751777199160884</v>
      </c>
      <c r="R99" s="204">
        <f t="shared" si="26"/>
        <v>126979.02561463804</v>
      </c>
      <c r="S99" s="204">
        <v>127085.51142508427</v>
      </c>
      <c r="T99" s="204">
        <f t="shared" si="19"/>
        <v>-0.11674811168258525</v>
      </c>
      <c r="U99" s="208">
        <f t="shared" si="20"/>
        <v>-0.2004409646920613</v>
      </c>
    </row>
    <row r="100" spans="1:21">
      <c r="A100" s="199" t="s">
        <v>251</v>
      </c>
      <c r="B100" s="200">
        <f t="shared" si="33"/>
        <v>127103.001984</v>
      </c>
      <c r="C100" s="205">
        <f t="shared" ref="C100:C101" si="36">B100/B96-1</f>
        <v>4.0999999999999925E-2</v>
      </c>
      <c r="D100" s="200">
        <f t="shared" si="34"/>
        <v>41715.116982</v>
      </c>
      <c r="E100" s="205">
        <f t="shared" ref="E100:E101" si="37">D100/D96-1</f>
        <v>7.8000000000000069E-2</v>
      </c>
      <c r="F100" s="200">
        <v>128249.2</v>
      </c>
      <c r="G100" s="200">
        <v>46753.300999999999</v>
      </c>
      <c r="H100" s="202">
        <v>4.0770553052425385E-2</v>
      </c>
      <c r="I100" s="203">
        <f t="shared" si="29"/>
        <v>935695.07608024694</v>
      </c>
      <c r="J100" s="204">
        <f t="shared" si="35"/>
        <v>0.74241486890309805</v>
      </c>
      <c r="K100" s="199"/>
      <c r="L100" s="199">
        <v>0.6</v>
      </c>
      <c r="M100" s="204">
        <f t="shared" si="16"/>
        <v>6.4408207953433525</v>
      </c>
      <c r="N100" s="204">
        <f t="shared" si="22"/>
        <v>626.92116266025664</v>
      </c>
      <c r="O100" s="204">
        <v>631.17596455600778</v>
      </c>
      <c r="P100" s="204">
        <v>0.73223545387554267</v>
      </c>
      <c r="Q100" s="204">
        <f t="shared" si="17"/>
        <v>11.760210766360702</v>
      </c>
      <c r="R100" s="204">
        <f t="shared" si="26"/>
        <v>128054.44017654509</v>
      </c>
      <c r="S100" s="204">
        <v>128136.67148537845</v>
      </c>
      <c r="T100" s="204">
        <f t="shared" si="19"/>
        <v>0.15209142547998322</v>
      </c>
      <c r="U100" s="208">
        <f t="shared" si="20"/>
        <v>8.7819133521338522E-2</v>
      </c>
    </row>
    <row r="101" spans="1:21">
      <c r="A101" s="199" t="s">
        <v>252</v>
      </c>
      <c r="B101" s="200">
        <f t="shared" si="33"/>
        <v>136954.72721700001</v>
      </c>
      <c r="C101" s="205">
        <f t="shared" si="36"/>
        <v>4.1000000000000147E-2</v>
      </c>
      <c r="D101" s="200">
        <f t="shared" si="34"/>
        <v>56524.272420000001</v>
      </c>
      <c r="E101" s="205">
        <f t="shared" si="37"/>
        <v>7.8000000000000069E-2</v>
      </c>
      <c r="F101" s="200">
        <v>129684.38</v>
      </c>
      <c r="G101" s="200">
        <v>47957.932000000001</v>
      </c>
      <c r="H101" s="202">
        <v>4.0770553052425385E-2</v>
      </c>
      <c r="I101" s="203">
        <f t="shared" si="29"/>
        <v>945504.20234002406</v>
      </c>
      <c r="J101" s="204">
        <f t="shared" si="35"/>
        <v>0.73928987493599607</v>
      </c>
      <c r="K101" s="199"/>
      <c r="L101" s="199">
        <v>0.6</v>
      </c>
      <c r="M101" s="204">
        <f t="shared" si="16"/>
        <v>6.450308595822694</v>
      </c>
      <c r="N101" s="204">
        <f t="shared" si="22"/>
        <v>632.89757222648018</v>
      </c>
      <c r="O101" s="204">
        <v>634.60345044889107</v>
      </c>
      <c r="P101" s="204">
        <v>0.7312942611163239</v>
      </c>
      <c r="Q101" s="204">
        <f t="shared" si="17"/>
        <v>11.769026148445732</v>
      </c>
      <c r="R101" s="204">
        <f t="shared" si="26"/>
        <v>129188.27926414179</v>
      </c>
      <c r="S101" s="204">
        <v>129205.02504765475</v>
      </c>
      <c r="T101" s="204">
        <f t="shared" si="19"/>
        <v>0.38401373459264754</v>
      </c>
      <c r="U101" s="208">
        <f t="shared" si="20"/>
        <v>0.37100333533348628</v>
      </c>
    </row>
    <row r="102" spans="1:21">
      <c r="A102" s="199" t="s">
        <v>253</v>
      </c>
      <c r="B102" s="200">
        <f>B98+(B98*$C$102)</f>
        <v>124724.48036895001</v>
      </c>
      <c r="C102" s="201">
        <v>0.05</v>
      </c>
      <c r="D102" s="200">
        <f>D98+(D98*$E$102)</f>
        <v>49766.217266920001</v>
      </c>
      <c r="E102" s="201">
        <v>8.5000000000000006E-2</v>
      </c>
      <c r="F102" s="200">
        <v>131638.76</v>
      </c>
      <c r="G102" s="200">
        <v>50843.773000000001</v>
      </c>
      <c r="H102" s="202">
        <v>4.0770553052425385E-2</v>
      </c>
      <c r="I102" s="203">
        <f t="shared" si="29"/>
        <v>957799.24609722896</v>
      </c>
      <c r="J102" s="207">
        <f>J98</f>
        <v>0.74033652143399986</v>
      </c>
      <c r="K102" s="199"/>
      <c r="L102" s="199">
        <v>0.6</v>
      </c>
      <c r="M102" s="204">
        <f t="shared" si="16"/>
        <v>6.4592496539515993</v>
      </c>
      <c r="N102" s="204">
        <f t="shared" si="22"/>
        <v>638.5817194879013</v>
      </c>
      <c r="O102" s="204">
        <v>638.03337147484865</v>
      </c>
      <c r="P102" s="204">
        <v>0.73042900105347086</v>
      </c>
      <c r="Q102" s="204">
        <f t="shared" si="17"/>
        <v>11.778874033406817</v>
      </c>
      <c r="R102" s="204">
        <f t="shared" si="26"/>
        <v>130466.79558486385</v>
      </c>
      <c r="S102" s="204">
        <v>130285.69695822262</v>
      </c>
      <c r="T102" s="204">
        <f t="shared" si="19"/>
        <v>0.89828558284306137</v>
      </c>
      <c r="U102" s="208">
        <f t="shared" si="20"/>
        <v>1.0385353675555598</v>
      </c>
    </row>
    <row r="103" spans="1:21">
      <c r="A103" s="199" t="s">
        <v>254</v>
      </c>
      <c r="B103" s="200">
        <f>B99+(B99*$C$102)</f>
        <v>133355.79997425</v>
      </c>
      <c r="C103" s="205">
        <f>B103/B99-1</f>
        <v>5.0000000000000044E-2</v>
      </c>
      <c r="D103" s="200">
        <f t="shared" ref="D103:D105" si="38">D99+(D99*$E$102)</f>
        <v>49788.344327259998</v>
      </c>
      <c r="E103" s="205">
        <f>D103/D99-1</f>
        <v>8.4999999999999964E-2</v>
      </c>
      <c r="F103" s="200">
        <v>133120.19</v>
      </c>
      <c r="G103" s="200">
        <v>52178.046000000002</v>
      </c>
      <c r="H103" s="202">
        <v>4.0770553052425385E-2</v>
      </c>
      <c r="I103" s="203">
        <f t="shared" si="29"/>
        <v>970927.28712064878</v>
      </c>
      <c r="J103" s="207">
        <f t="shared" ref="J103:J105" si="39">J99</f>
        <v>0.74246815816445411</v>
      </c>
      <c r="K103" s="199"/>
      <c r="L103" s="199">
        <v>0.6</v>
      </c>
      <c r="M103" s="204">
        <f t="shared" si="16"/>
        <v>6.4632701156732892</v>
      </c>
      <c r="N103" s="204">
        <f t="shared" si="22"/>
        <v>641.15428082419965</v>
      </c>
      <c r="O103" s="204">
        <v>641.46495586884998</v>
      </c>
      <c r="P103" s="204">
        <v>0.72960990292658812</v>
      </c>
      <c r="Q103" s="204">
        <f t="shared" si="17"/>
        <v>11.789010137785059</v>
      </c>
      <c r="R103" s="204">
        <f t="shared" si="26"/>
        <v>131795.94546397481</v>
      </c>
      <c r="S103" s="204">
        <v>131374.1116602367</v>
      </c>
      <c r="T103" s="204">
        <f t="shared" si="19"/>
        <v>1.004768797221578</v>
      </c>
      <c r="U103" s="208">
        <f t="shared" si="20"/>
        <v>1.3290885987332635</v>
      </c>
    </row>
    <row r="104" spans="1:21">
      <c r="A104" s="199" t="s">
        <v>255</v>
      </c>
      <c r="B104" s="200">
        <f t="shared" ref="B104:B105" si="40">B100+(B100*$C$102)</f>
        <v>133458.1520832</v>
      </c>
      <c r="C104" s="205">
        <f t="shared" ref="C104:C105" si="41">B104/B100-1</f>
        <v>5.0000000000000044E-2</v>
      </c>
      <c r="D104" s="200">
        <f t="shared" si="38"/>
        <v>45260.901925469996</v>
      </c>
      <c r="E104" s="205">
        <f t="shared" ref="E104:E105" si="42">D104/D100-1</f>
        <v>8.4999999999999964E-2</v>
      </c>
      <c r="F104" s="200">
        <v>134489.4</v>
      </c>
      <c r="G104" s="200">
        <v>50383.993000000002</v>
      </c>
      <c r="H104" s="202">
        <v>4.0770553052425385E-2</v>
      </c>
      <c r="I104" s="203">
        <f t="shared" si="29"/>
        <v>981726.03765104897</v>
      </c>
      <c r="J104" s="207">
        <f t="shared" si="39"/>
        <v>0.74241486890309805</v>
      </c>
      <c r="K104" s="199"/>
      <c r="L104" s="199">
        <v>0.6</v>
      </c>
      <c r="M104" s="204">
        <f t="shared" si="16"/>
        <v>6.4691218805016648</v>
      </c>
      <c r="N104" s="204">
        <f t="shared" si="22"/>
        <v>644.91716390999466</v>
      </c>
      <c r="O104" s="204">
        <v>644.89777458337255</v>
      </c>
      <c r="P104" s="204">
        <v>0.72881338817551811</v>
      </c>
      <c r="Q104" s="204">
        <f t="shared" si="17"/>
        <v>11.798116303132856</v>
      </c>
      <c r="R104" s="204">
        <f t="shared" si="26"/>
        <v>133001.58216796303</v>
      </c>
      <c r="S104" s="204">
        <v>132466.53926125276</v>
      </c>
      <c r="T104" s="204">
        <f t="shared" si="19"/>
        <v>1.1186467166669045</v>
      </c>
      <c r="U104" s="208">
        <f t="shared" si="20"/>
        <v>1.5270729876604605</v>
      </c>
    </row>
    <row r="105" spans="1:21">
      <c r="A105" s="199" t="s">
        <v>256</v>
      </c>
      <c r="B105" s="200">
        <f t="shared" si="40"/>
        <v>143802.46357784999</v>
      </c>
      <c r="C105" s="205">
        <f t="shared" si="41"/>
        <v>4.9999999999999822E-2</v>
      </c>
      <c r="D105" s="200">
        <f t="shared" si="38"/>
        <v>61328.835575700003</v>
      </c>
      <c r="E105" s="205">
        <f t="shared" si="42"/>
        <v>8.4999999999999964E-2</v>
      </c>
      <c r="F105" s="200">
        <v>135759.23000000001</v>
      </c>
      <c r="G105" s="200">
        <v>52726.178999999996</v>
      </c>
      <c r="H105" s="202">
        <v>4.0770553052425385E-2</v>
      </c>
      <c r="I105" s="203">
        <f t="shared" si="29"/>
        <v>994426.70315004955</v>
      </c>
      <c r="J105" s="207">
        <f t="shared" si="39"/>
        <v>0.73928987493599607</v>
      </c>
      <c r="K105" s="199"/>
      <c r="L105" s="199">
        <v>0.6</v>
      </c>
      <c r="M105" s="204">
        <f t="shared" si="16"/>
        <v>6.4759086683713249</v>
      </c>
      <c r="N105" s="204">
        <f t="shared" si="22"/>
        <v>649.30896615268068</v>
      </c>
      <c r="O105" s="204">
        <v>648.33120439899119</v>
      </c>
      <c r="P105" s="204">
        <v>0.72802391464962712</v>
      </c>
      <c r="Q105" s="204">
        <f t="shared" si="17"/>
        <v>11.807917523695922</v>
      </c>
      <c r="R105" s="204">
        <f t="shared" si="26"/>
        <v>134311.56925937854</v>
      </c>
      <c r="S105" s="204">
        <v>133560.34116778895</v>
      </c>
      <c r="T105" s="204">
        <f t="shared" si="19"/>
        <v>1.077837708697893</v>
      </c>
      <c r="U105" s="208">
        <f t="shared" si="20"/>
        <v>1.6463635934027998</v>
      </c>
    </row>
    <row r="106" spans="1:21">
      <c r="H106" s="154"/>
    </row>
    <row r="107" spans="1:21">
      <c r="H107" s="154"/>
    </row>
    <row r="108" spans="1:21">
      <c r="H108" s="154"/>
    </row>
    <row r="109" spans="1:21">
      <c r="A109" s="6" t="s">
        <v>373</v>
      </c>
      <c r="C109" s="6" t="s">
        <v>374</v>
      </c>
      <c r="H109" s="154"/>
    </row>
    <row r="110" spans="1:21">
      <c r="A110" s="6">
        <v>2023</v>
      </c>
      <c r="B110" s="224">
        <f>SUM(R94:R97)</f>
        <v>493272.54485289048</v>
      </c>
      <c r="C110" s="6">
        <f>B110/Data!P74</f>
        <v>0.23843321606107984</v>
      </c>
      <c r="D110" s="224">
        <f>(0%*C110+C110)*Data!P74</f>
        <v>493272.54485289048</v>
      </c>
      <c r="E110" s="6">
        <f>D110/B110-1</f>
        <v>0</v>
      </c>
      <c r="H110" s="154"/>
    </row>
    <row r="111" spans="1:21">
      <c r="A111" s="6">
        <v>2024</v>
      </c>
      <c r="B111" s="224">
        <f>SUM(R98:R101)</f>
        <v>510028.39336064679</v>
      </c>
      <c r="C111" s="6">
        <f>B111/Data!P74</f>
        <v>0.24653249279809764</v>
      </c>
      <c r="H111" s="154"/>
    </row>
    <row r="112" spans="1:21">
      <c r="A112" s="6">
        <v>2025</v>
      </c>
      <c r="B112" s="224">
        <f>SUM(R102:R105)</f>
        <v>529575.89247618022</v>
      </c>
      <c r="C112" s="6">
        <f>B112/Data!P74</f>
        <v>0.25598117006323456</v>
      </c>
      <c r="H112" s="154"/>
    </row>
    <row r="113" spans="8:8">
      <c r="H113" s="154"/>
    </row>
    <row r="114" spans="8:8">
      <c r="H114" s="154"/>
    </row>
    <row r="115" spans="8:8">
      <c r="H115" s="154"/>
    </row>
  </sheetData>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D19"/>
  <sheetViews>
    <sheetView workbookViewId="0">
      <selection sqref="A1:D19"/>
    </sheetView>
  </sheetViews>
  <sheetFormatPr defaultRowHeight="14.4"/>
  <cols>
    <col min="3" max="3" width="16.5546875" customWidth="1"/>
    <col min="4" max="4" width="20" customWidth="1"/>
  </cols>
  <sheetData>
    <row r="1" spans="1:4">
      <c r="A1" s="21"/>
      <c r="B1" s="278" t="s">
        <v>41</v>
      </c>
      <c r="C1" s="279"/>
      <c r="D1" s="279"/>
    </row>
    <row r="2" spans="1:4" ht="57.6">
      <c r="A2" s="21"/>
      <c r="B2" s="169" t="s">
        <v>42</v>
      </c>
      <c r="C2" s="169" t="s">
        <v>38</v>
      </c>
      <c r="D2" s="169" t="s">
        <v>39</v>
      </c>
    </row>
    <row r="3" spans="1:4">
      <c r="A3" s="21">
        <v>2000</v>
      </c>
      <c r="B3" s="170">
        <v>5.8839725625196824</v>
      </c>
      <c r="C3" s="171">
        <v>3.3358306065201758E-2</v>
      </c>
      <c r="D3" s="172">
        <v>0.63235461711883545</v>
      </c>
    </row>
    <row r="4" spans="1:4">
      <c r="A4" s="21">
        <v>2001</v>
      </c>
      <c r="B4" s="170">
        <v>5.8491338188046358</v>
      </c>
      <c r="C4" s="171">
        <v>3.3383181318640709E-2</v>
      </c>
      <c r="D4" s="172">
        <v>0.63531573613484704</v>
      </c>
    </row>
    <row r="5" spans="1:4">
      <c r="A5" s="21">
        <v>2002</v>
      </c>
      <c r="B5" s="170">
        <v>5.77355920403373</v>
      </c>
      <c r="C5" s="171">
        <v>3.3575932681560519E-2</v>
      </c>
      <c r="D5" s="172">
        <v>0.64803165197372437</v>
      </c>
    </row>
    <row r="6" spans="1:4">
      <c r="A6" s="21">
        <v>2003</v>
      </c>
      <c r="B6" s="170">
        <v>5.6141634719609321</v>
      </c>
      <c r="C6" s="171">
        <v>3.3951441571116445E-2</v>
      </c>
      <c r="D6" s="172">
        <v>0.64924528201421106</v>
      </c>
    </row>
    <row r="7" spans="1:4">
      <c r="A7" s="21">
        <v>2004</v>
      </c>
      <c r="B7" s="170">
        <v>5.4747465371461628</v>
      </c>
      <c r="C7" s="171">
        <v>3.4398389980196953E-2</v>
      </c>
      <c r="D7" s="172">
        <v>0.62562998135884607</v>
      </c>
    </row>
    <row r="8" spans="1:4">
      <c r="A8" s="21">
        <v>2005</v>
      </c>
      <c r="B8" s="170">
        <v>5.2340648690341904</v>
      </c>
      <c r="C8" s="171">
        <v>3.490128852427006E-2</v>
      </c>
      <c r="D8" s="172">
        <v>0.59833868344624841</v>
      </c>
    </row>
    <row r="9" spans="1:4">
      <c r="A9" s="21">
        <v>2006</v>
      </c>
      <c r="B9" s="170">
        <v>4.8149331985159138</v>
      </c>
      <c r="C9" s="171">
        <v>3.5494010150432589E-2</v>
      </c>
      <c r="D9" s="172">
        <v>0.60307733217875159</v>
      </c>
    </row>
    <row r="10" spans="1:4">
      <c r="A10" s="21">
        <v>2007</v>
      </c>
      <c r="B10" s="170">
        <v>4.5881100000360719</v>
      </c>
      <c r="C10" s="171">
        <v>3.6517029255628587E-2</v>
      </c>
      <c r="D10" s="172">
        <v>0.59529302517573035</v>
      </c>
    </row>
    <row r="11" spans="1:4">
      <c r="A11" s="21">
        <v>2008</v>
      </c>
      <c r="B11" s="170">
        <v>4.4164870169602599</v>
      </c>
      <c r="C11" s="171">
        <v>3.7928304076194762E-2</v>
      </c>
      <c r="D11" s="172">
        <v>0.60315698385238647</v>
      </c>
    </row>
    <row r="12" spans="1:4">
      <c r="A12" s="21">
        <v>2010</v>
      </c>
      <c r="B12" s="170">
        <v>4.3158147811768703</v>
      </c>
      <c r="C12" s="171">
        <v>3.8685410842299463E-2</v>
      </c>
      <c r="D12" s="172">
        <v>0.60881080230077111</v>
      </c>
    </row>
    <row r="13" spans="1:4">
      <c r="A13" s="21">
        <v>2011</v>
      </c>
      <c r="B13" s="170">
        <v>4.2856767131413696</v>
      </c>
      <c r="C13" s="171">
        <v>3.8698006421327591E-2</v>
      </c>
      <c r="D13" s="172">
        <v>0.59862862030665076</v>
      </c>
    </row>
    <row r="14" spans="1:4">
      <c r="A14" s="21">
        <v>2012</v>
      </c>
      <c r="B14" s="170">
        <v>4.3848419409036445</v>
      </c>
      <c r="C14" s="171">
        <v>3.8654207438230517E-2</v>
      </c>
      <c r="D14" s="172">
        <v>0.58865914742151892</v>
      </c>
    </row>
    <row r="15" spans="1:4">
      <c r="A15" s="21">
        <v>2013</v>
      </c>
      <c r="B15" s="170">
        <v>4.3747403531941318</v>
      </c>
      <c r="C15" s="171">
        <v>3.8806083798408511E-2</v>
      </c>
      <c r="D15" s="172">
        <v>0.59000114599863684</v>
      </c>
    </row>
    <row r="16" spans="1:4">
      <c r="A16" s="21">
        <v>2014</v>
      </c>
      <c r="B16" s="170">
        <v>4.3886452610132709</v>
      </c>
      <c r="C16" s="171">
        <v>3.9129687845706938E-2</v>
      </c>
      <c r="D16" s="172">
        <v>0.57403188943862915</v>
      </c>
    </row>
    <row r="17" spans="1:4">
      <c r="A17" s="21">
        <v>2015</v>
      </c>
      <c r="B17" s="170">
        <v>4.2535958394985265</v>
      </c>
      <c r="C17" s="171">
        <v>3.949715420603752E-2</v>
      </c>
      <c r="D17" s="172">
        <v>0.580922524134318</v>
      </c>
    </row>
    <row r="18" spans="1:4">
      <c r="A18" s="21">
        <v>2016</v>
      </c>
      <c r="B18" s="170">
        <v>4.1854639167753005</v>
      </c>
      <c r="C18" s="171">
        <v>3.9929954707622527E-2</v>
      </c>
      <c r="D18" s="172">
        <v>0.57704819242159522</v>
      </c>
    </row>
    <row r="19" spans="1:4">
      <c r="A19" s="21">
        <v>2017</v>
      </c>
      <c r="B19" s="170">
        <v>4.1353204973013948</v>
      </c>
      <c r="C19" s="171">
        <v>4.0448945760726926E-2</v>
      </c>
      <c r="D19" s="172">
        <v>0.57704819242159522</v>
      </c>
    </row>
  </sheetData>
  <mergeCells count="1">
    <mergeCell ref="B1:D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A83"/>
  <sheetViews>
    <sheetView topLeftCell="A26" workbookViewId="0">
      <selection activeCell="U38" sqref="U38"/>
    </sheetView>
  </sheetViews>
  <sheetFormatPr defaultRowHeight="14.4"/>
  <cols>
    <col min="1" max="1" width="72.77734375" style="138" customWidth="1"/>
    <col min="2" max="12" width="9.109375" style="138" hidden="1" customWidth="1"/>
    <col min="13" max="17" width="9.109375" style="138" customWidth="1"/>
    <col min="18" max="16384" width="8.88671875" style="138"/>
  </cols>
  <sheetData>
    <row r="1" spans="1:27" ht="18">
      <c r="A1" s="173" t="s">
        <v>281</v>
      </c>
      <c r="S1" s="174" t="s">
        <v>282</v>
      </c>
    </row>
    <row r="2" spans="1:27">
      <c r="S2" s="138" t="s">
        <v>283</v>
      </c>
    </row>
    <row r="3" spans="1:27">
      <c r="B3" s="175" t="s">
        <v>226</v>
      </c>
      <c r="C3" s="175" t="s">
        <v>227</v>
      </c>
      <c r="D3" s="175" t="s">
        <v>228</v>
      </c>
      <c r="E3" s="175" t="s">
        <v>229</v>
      </c>
      <c r="F3" s="175" t="s">
        <v>230</v>
      </c>
      <c r="G3" s="175" t="s">
        <v>231</v>
      </c>
      <c r="H3" s="175" t="s">
        <v>232</v>
      </c>
      <c r="I3" s="175" t="s">
        <v>233</v>
      </c>
      <c r="J3" s="175" t="s">
        <v>234</v>
      </c>
      <c r="K3" s="175" t="s">
        <v>235</v>
      </c>
      <c r="L3" s="175" t="s">
        <v>236</v>
      </c>
      <c r="M3" s="175" t="s">
        <v>237</v>
      </c>
      <c r="N3" s="175" t="s">
        <v>238</v>
      </c>
      <c r="O3" s="175" t="s">
        <v>239</v>
      </c>
      <c r="P3" s="175" t="s">
        <v>240</v>
      </c>
      <c r="Q3" s="175" t="s">
        <v>284</v>
      </c>
    </row>
    <row r="4" spans="1:27">
      <c r="A4" s="175" t="s">
        <v>285</v>
      </c>
      <c r="B4" s="176">
        <v>31</v>
      </c>
      <c r="C4" s="176">
        <v>30.3</v>
      </c>
      <c r="D4" s="176">
        <v>32.200000000000003</v>
      </c>
      <c r="E4" s="176">
        <v>33.6</v>
      </c>
      <c r="F4" s="176">
        <v>33.4</v>
      </c>
      <c r="G4" s="176">
        <v>34.299999999999997</v>
      </c>
      <c r="H4" s="176">
        <v>32.4</v>
      </c>
      <c r="I4" s="176">
        <v>35.4</v>
      </c>
      <c r="J4" s="176">
        <v>36.9</v>
      </c>
      <c r="K4" s="176">
        <v>35.299999999999997</v>
      </c>
      <c r="L4" s="176">
        <v>33.9</v>
      </c>
      <c r="M4" s="138">
        <v>0.35499999999999998</v>
      </c>
      <c r="N4" s="138">
        <v>0.36700000000000005</v>
      </c>
      <c r="O4" s="138">
        <v>0.38400000000000001</v>
      </c>
      <c r="P4" s="138">
        <v>0.373</v>
      </c>
      <c r="Q4" s="138">
        <v>0.35200000000000004</v>
      </c>
    </row>
    <row r="5" spans="1:27">
      <c r="A5" s="175" t="s">
        <v>286</v>
      </c>
      <c r="B5" s="176">
        <v>54.8</v>
      </c>
      <c r="C5" s="176">
        <v>56.1</v>
      </c>
      <c r="D5" s="176">
        <v>58.3</v>
      </c>
      <c r="E5" s="176">
        <v>58.7</v>
      </c>
      <c r="F5" s="176">
        <v>58.4</v>
      </c>
      <c r="G5" s="176">
        <v>58.3</v>
      </c>
      <c r="H5" s="176">
        <v>57.7</v>
      </c>
      <c r="I5" s="176">
        <v>60.2</v>
      </c>
      <c r="J5" s="176">
        <v>61.2</v>
      </c>
      <c r="K5" s="176">
        <v>61.5</v>
      </c>
      <c r="L5" s="176">
        <v>63.9</v>
      </c>
      <c r="M5" s="138">
        <v>0.64400000000000002</v>
      </c>
      <c r="N5" s="138">
        <v>0.65599999999999992</v>
      </c>
      <c r="O5" s="138">
        <v>0.68099999999999994</v>
      </c>
      <c r="P5" s="138">
        <v>0.67299999999999993</v>
      </c>
      <c r="Q5" s="138">
        <v>0.68700000000000006</v>
      </c>
    </row>
    <row r="6" spans="1:27">
      <c r="A6" s="175" t="s">
        <v>287</v>
      </c>
      <c r="B6" s="176">
        <v>73.2</v>
      </c>
      <c r="C6" s="176">
        <v>71.900000000000006</v>
      </c>
      <c r="D6" s="176">
        <v>73.099999999999994</v>
      </c>
      <c r="E6" s="176">
        <v>74.3</v>
      </c>
      <c r="F6" s="176">
        <v>73.900000000000006</v>
      </c>
      <c r="G6" s="176">
        <v>72.400000000000006</v>
      </c>
      <c r="H6" s="176">
        <v>71.900000000000006</v>
      </c>
      <c r="I6" s="176">
        <v>71.400000000000006</v>
      </c>
      <c r="J6" s="176">
        <v>72.400000000000006</v>
      </c>
      <c r="K6" s="176">
        <v>74.400000000000006</v>
      </c>
      <c r="L6" s="176">
        <v>74.7</v>
      </c>
      <c r="M6" s="138">
        <v>0.75800000000000001</v>
      </c>
      <c r="N6" s="138">
        <v>0.7659999999999999</v>
      </c>
      <c r="O6" s="138">
        <v>0.78799999999999992</v>
      </c>
      <c r="P6" s="138">
        <v>0.79200000000000004</v>
      </c>
      <c r="Q6" s="138">
        <v>0.80400000000000005</v>
      </c>
    </row>
    <row r="7" spans="1:27">
      <c r="S7" s="138" t="s">
        <v>288</v>
      </c>
    </row>
    <row r="8" spans="1:27">
      <c r="A8" s="175" t="s">
        <v>241</v>
      </c>
      <c r="B8" s="176">
        <v>35.200000000000003</v>
      </c>
      <c r="C8" s="176">
        <v>36.200000000000003</v>
      </c>
      <c r="D8" s="176">
        <v>37.299999999999997</v>
      </c>
      <c r="E8" s="176">
        <v>38.4</v>
      </c>
      <c r="F8" s="176">
        <v>38.700000000000003</v>
      </c>
      <c r="G8" s="176">
        <v>38.9</v>
      </c>
      <c r="H8" s="176">
        <v>39</v>
      </c>
      <c r="I8" s="176">
        <v>40.6</v>
      </c>
      <c r="J8" s="176">
        <v>41.2</v>
      </c>
      <c r="K8" s="176">
        <v>42.1</v>
      </c>
      <c r="L8" s="176">
        <v>43.1</v>
      </c>
      <c r="M8" s="138">
        <v>0.441</v>
      </c>
      <c r="N8" s="138">
        <v>0.45100000000000001</v>
      </c>
      <c r="O8" s="138">
        <v>0.47299999999999998</v>
      </c>
      <c r="P8" s="138">
        <v>0.47200000000000003</v>
      </c>
      <c r="Q8" s="138">
        <v>0.47200000000000003</v>
      </c>
      <c r="R8" s="176"/>
      <c r="S8" s="176" t="s">
        <v>289</v>
      </c>
      <c r="T8" s="176"/>
      <c r="U8" s="176"/>
      <c r="V8" s="176"/>
      <c r="W8" s="176"/>
      <c r="X8" s="176"/>
      <c r="Y8" s="176"/>
      <c r="Z8" s="176"/>
      <c r="AA8" s="176"/>
    </row>
    <row r="9" spans="1:27">
      <c r="A9" s="175"/>
      <c r="B9" s="176"/>
      <c r="C9" s="176"/>
      <c r="D9" s="176"/>
      <c r="E9" s="176"/>
      <c r="F9" s="176"/>
      <c r="G9" s="176"/>
      <c r="H9" s="176"/>
      <c r="I9" s="176"/>
      <c r="J9" s="176"/>
      <c r="K9" s="176"/>
      <c r="L9" s="176"/>
      <c r="M9" s="141">
        <f>M30/M15</f>
        <v>0.44087896257890929</v>
      </c>
      <c r="N9" s="141">
        <f t="shared" ref="N9:Q9" si="0">N30/N15</f>
        <v>0.45109235027949096</v>
      </c>
      <c r="O9" s="141">
        <f t="shared" si="0"/>
        <v>0.4734339573366888</v>
      </c>
      <c r="P9" s="141">
        <f t="shared" si="0"/>
        <v>0.47159123606051062</v>
      </c>
      <c r="Q9" s="141">
        <f t="shared" si="0"/>
        <v>0.47247860708343237</v>
      </c>
      <c r="R9" s="176"/>
      <c r="S9" s="176"/>
      <c r="T9" s="176"/>
      <c r="U9" s="176"/>
      <c r="V9" s="176"/>
      <c r="W9" s="176"/>
      <c r="X9" s="176"/>
      <c r="Y9" s="176"/>
      <c r="Z9" s="176"/>
      <c r="AA9" s="176"/>
    </row>
    <row r="10" spans="1:27">
      <c r="A10" s="175" t="s">
        <v>290</v>
      </c>
      <c r="M10" s="141">
        <f>M38/M24</f>
        <v>0.23212851542293975</v>
      </c>
      <c r="N10" s="141">
        <f t="shared" ref="N10:Q10" si="1">N38/N24</f>
        <v>0.24234856224866441</v>
      </c>
      <c r="O10" s="141">
        <f t="shared" si="1"/>
        <v>0.24702653247941445</v>
      </c>
      <c r="P10" s="141">
        <f t="shared" si="1"/>
        <v>0.23739001182610206</v>
      </c>
      <c r="Q10" s="141">
        <f t="shared" si="1"/>
        <v>0.21878844590916885</v>
      </c>
    </row>
    <row r="11" spans="1:27">
      <c r="A11" s="175"/>
      <c r="S11" s="174"/>
    </row>
    <row r="12" spans="1:27" ht="18">
      <c r="A12" s="173" t="s">
        <v>291</v>
      </c>
    </row>
    <row r="13" spans="1:27">
      <c r="B13" s="175"/>
      <c r="M13" s="175"/>
    </row>
    <row r="14" spans="1:27">
      <c r="B14" s="175"/>
      <c r="C14" s="175"/>
      <c r="D14" s="175"/>
      <c r="E14" s="175"/>
      <c r="F14" s="175"/>
      <c r="G14" s="175"/>
      <c r="M14" s="175" t="s">
        <v>237</v>
      </c>
      <c r="N14" s="175" t="s">
        <v>238</v>
      </c>
      <c r="O14" s="175" t="s">
        <v>239</v>
      </c>
      <c r="P14" s="175" t="s">
        <v>240</v>
      </c>
      <c r="Q14" s="175" t="s">
        <v>284</v>
      </c>
    </row>
    <row r="15" spans="1:27">
      <c r="A15" s="175" t="s">
        <v>241</v>
      </c>
      <c r="B15" s="177"/>
      <c r="C15" s="177"/>
      <c r="D15" s="177"/>
      <c r="E15" s="177"/>
      <c r="F15" s="177"/>
      <c r="G15" s="177"/>
      <c r="M15" s="177">
        <v>1679935</v>
      </c>
      <c r="N15" s="177">
        <v>1682702</v>
      </c>
      <c r="O15" s="177">
        <v>1684820</v>
      </c>
      <c r="P15" s="177">
        <v>1685589</v>
      </c>
      <c r="Q15" s="177">
        <v>1682800</v>
      </c>
    </row>
    <row r="16" spans="1:27">
      <c r="A16" s="175" t="s">
        <v>292</v>
      </c>
      <c r="B16" s="177"/>
      <c r="C16" s="177"/>
      <c r="D16" s="177"/>
      <c r="E16" s="177"/>
      <c r="F16" s="177"/>
      <c r="G16" s="177"/>
      <c r="M16" s="177">
        <v>25345</v>
      </c>
      <c r="N16" s="177">
        <v>26504</v>
      </c>
      <c r="O16" s="177">
        <v>32464</v>
      </c>
      <c r="P16" s="177">
        <v>27584</v>
      </c>
      <c r="Q16" s="177">
        <v>27355</v>
      </c>
    </row>
    <row r="17" spans="1:17">
      <c r="A17" s="175" t="s">
        <v>293</v>
      </c>
      <c r="B17" s="177"/>
      <c r="C17" s="177"/>
      <c r="D17" s="177"/>
      <c r="E17" s="177"/>
      <c r="F17" s="177"/>
      <c r="G17" s="177"/>
      <c r="M17" s="177">
        <v>80781</v>
      </c>
      <c r="N17" s="177">
        <v>77564</v>
      </c>
      <c r="O17" s="177">
        <v>73815</v>
      </c>
      <c r="P17" s="177">
        <v>70496</v>
      </c>
      <c r="Q17" s="177">
        <v>62075</v>
      </c>
    </row>
    <row r="18" spans="1:17">
      <c r="A18" s="175" t="s">
        <v>294</v>
      </c>
      <c r="B18" s="177"/>
      <c r="C18" s="177"/>
      <c r="D18" s="177"/>
      <c r="E18" s="177"/>
      <c r="F18" s="177"/>
      <c r="G18" s="177"/>
      <c r="M18" s="177">
        <v>481570</v>
      </c>
      <c r="N18" s="177">
        <v>477326</v>
      </c>
      <c r="O18" s="177">
        <v>466453</v>
      </c>
      <c r="P18" s="177">
        <v>454934</v>
      </c>
      <c r="Q18" s="177">
        <v>447038</v>
      </c>
    </row>
    <row r="19" spans="1:17">
      <c r="A19" s="175" t="s">
        <v>295</v>
      </c>
      <c r="B19" s="177"/>
      <c r="C19" s="177"/>
      <c r="D19" s="177"/>
      <c r="E19" s="177"/>
      <c r="F19" s="177"/>
      <c r="G19" s="177"/>
      <c r="M19" s="177">
        <v>122751</v>
      </c>
      <c r="N19" s="177">
        <v>142547</v>
      </c>
      <c r="O19" s="177">
        <v>136463</v>
      </c>
      <c r="P19" s="177">
        <v>118867</v>
      </c>
      <c r="Q19" s="177">
        <v>109673</v>
      </c>
    </row>
    <row r="20" spans="1:17">
      <c r="A20" s="175" t="s">
        <v>296</v>
      </c>
      <c r="B20" s="177"/>
      <c r="C20" s="177"/>
      <c r="D20" s="177"/>
      <c r="E20" s="177"/>
      <c r="F20" s="177"/>
      <c r="G20" s="177"/>
      <c r="M20" s="177">
        <v>677071</v>
      </c>
      <c r="N20" s="177">
        <v>671464</v>
      </c>
      <c r="O20" s="177">
        <v>678572</v>
      </c>
      <c r="P20" s="177">
        <v>690319</v>
      </c>
      <c r="Q20" s="177">
        <v>712576</v>
      </c>
    </row>
    <row r="21" spans="1:17">
      <c r="A21" s="175" t="s">
        <v>297</v>
      </c>
      <c r="B21" s="177"/>
      <c r="C21" s="177"/>
      <c r="D21" s="177"/>
      <c r="E21" s="177"/>
      <c r="F21" s="177"/>
      <c r="G21" s="177"/>
      <c r="M21" s="177">
        <v>34430</v>
      </c>
      <c r="N21" s="177">
        <v>31868</v>
      </c>
      <c r="O21" s="177">
        <v>35120</v>
      </c>
      <c r="P21" s="177">
        <v>37146</v>
      </c>
      <c r="Q21" s="177">
        <v>37834</v>
      </c>
    </row>
    <row r="22" spans="1:17">
      <c r="A22" s="175" t="s">
        <v>298</v>
      </c>
      <c r="B22" s="177"/>
      <c r="C22" s="177"/>
      <c r="D22" s="177"/>
      <c r="E22" s="177"/>
      <c r="F22" s="177"/>
      <c r="G22" s="177"/>
      <c r="M22" s="177">
        <v>257988</v>
      </c>
      <c r="N22" s="177">
        <v>255429</v>
      </c>
      <c r="O22" s="177">
        <v>261934</v>
      </c>
      <c r="P22" s="177">
        <v>286243</v>
      </c>
      <c r="Q22" s="177">
        <v>286250</v>
      </c>
    </row>
    <row r="24" spans="1:17">
      <c r="A24" s="175" t="s">
        <v>285</v>
      </c>
      <c r="M24" s="177">
        <f>SUM(M16:M18)</f>
        <v>587696</v>
      </c>
      <c r="N24" s="177">
        <f t="shared" ref="N24:Q24" si="2">SUM(N16:N18)</f>
        <v>581394</v>
      </c>
      <c r="O24" s="177">
        <f t="shared" si="2"/>
        <v>572732</v>
      </c>
      <c r="P24" s="177">
        <f t="shared" si="2"/>
        <v>553014</v>
      </c>
      <c r="Q24" s="177">
        <f t="shared" si="2"/>
        <v>536468</v>
      </c>
    </row>
    <row r="25" spans="1:17">
      <c r="A25" s="175" t="s">
        <v>286</v>
      </c>
      <c r="M25" s="177">
        <f>SUM(M19:M21)</f>
        <v>834252</v>
      </c>
      <c r="N25" s="177">
        <f t="shared" ref="N25:Q25" si="3">SUM(N19:N21)</f>
        <v>845879</v>
      </c>
      <c r="O25" s="177">
        <f t="shared" si="3"/>
        <v>850155</v>
      </c>
      <c r="P25" s="177">
        <f t="shared" si="3"/>
        <v>846332</v>
      </c>
      <c r="Q25" s="177">
        <f t="shared" si="3"/>
        <v>860083</v>
      </c>
    </row>
    <row r="26" spans="1:17">
      <c r="A26" s="175" t="s">
        <v>287</v>
      </c>
      <c r="M26" s="177">
        <f>M22</f>
        <v>257988</v>
      </c>
      <c r="N26" s="177">
        <f t="shared" ref="N26:Q26" si="4">N22</f>
        <v>255429</v>
      </c>
      <c r="O26" s="177">
        <f t="shared" si="4"/>
        <v>261934</v>
      </c>
      <c r="P26" s="177">
        <f t="shared" si="4"/>
        <v>286243</v>
      </c>
      <c r="Q26" s="177">
        <f t="shared" si="4"/>
        <v>286250</v>
      </c>
    </row>
    <row r="27" spans="1:17">
      <c r="M27" s="177"/>
    </row>
    <row r="28" spans="1:17" ht="18">
      <c r="A28" s="173" t="s">
        <v>299</v>
      </c>
    </row>
    <row r="30" spans="1:17">
      <c r="A30" s="175" t="s">
        <v>241</v>
      </c>
      <c r="M30" s="177">
        <v>740648</v>
      </c>
      <c r="N30" s="177">
        <v>759054</v>
      </c>
      <c r="O30" s="177">
        <v>797651</v>
      </c>
      <c r="P30" s="177">
        <v>794909</v>
      </c>
      <c r="Q30" s="177">
        <v>795087</v>
      </c>
    </row>
    <row r="31" spans="1:17">
      <c r="A31" s="175" t="s">
        <v>292</v>
      </c>
      <c r="M31" s="177">
        <v>2369</v>
      </c>
      <c r="N31" s="177">
        <v>2774</v>
      </c>
      <c r="O31" s="177">
        <v>4852</v>
      </c>
      <c r="P31" s="177">
        <v>3689</v>
      </c>
      <c r="Q31" s="177">
        <v>2319</v>
      </c>
    </row>
    <row r="32" spans="1:17">
      <c r="A32" s="175" t="s">
        <v>293</v>
      </c>
      <c r="M32" s="177">
        <v>13493</v>
      </c>
      <c r="N32" s="177">
        <v>13697</v>
      </c>
      <c r="O32" s="177">
        <v>14484</v>
      </c>
      <c r="P32" s="177">
        <v>12621</v>
      </c>
      <c r="Q32" s="177">
        <v>9378</v>
      </c>
    </row>
    <row r="33" spans="1:17">
      <c r="A33" s="175" t="s">
        <v>294</v>
      </c>
      <c r="M33" s="177">
        <v>120559</v>
      </c>
      <c r="N33" s="177">
        <v>124429</v>
      </c>
      <c r="O33" s="177">
        <v>122144</v>
      </c>
      <c r="P33" s="177">
        <v>114970</v>
      </c>
      <c r="Q33" s="177">
        <v>105676</v>
      </c>
    </row>
    <row r="34" spans="1:17">
      <c r="A34" s="175" t="s">
        <v>300</v>
      </c>
      <c r="M34" s="177">
        <v>410950</v>
      </c>
      <c r="N34" s="177">
        <v>426041</v>
      </c>
      <c r="O34" s="177">
        <v>449664</v>
      </c>
      <c r="P34" s="177">
        <v>437610</v>
      </c>
      <c r="Q34" s="177">
        <v>447970</v>
      </c>
    </row>
    <row r="35" spans="1:17">
      <c r="A35" s="175" t="s">
        <v>297</v>
      </c>
      <c r="M35" s="177">
        <v>15613</v>
      </c>
      <c r="N35" s="177">
        <v>14315</v>
      </c>
      <c r="O35" s="177">
        <v>16250</v>
      </c>
      <c r="P35" s="177">
        <v>17020</v>
      </c>
      <c r="Q35" s="177">
        <v>16664</v>
      </c>
    </row>
    <row r="36" spans="1:17">
      <c r="A36" s="175" t="s">
        <v>298</v>
      </c>
      <c r="M36" s="177">
        <v>177665</v>
      </c>
      <c r="N36" s="177">
        <v>177798</v>
      </c>
      <c r="O36" s="177">
        <v>190257</v>
      </c>
      <c r="P36" s="177">
        <v>209000</v>
      </c>
      <c r="Q36" s="177">
        <v>213081</v>
      </c>
    </row>
    <row r="38" spans="1:17">
      <c r="A38" s="175" t="s">
        <v>285</v>
      </c>
      <c r="M38" s="177">
        <f>SUM(M31:M33)</f>
        <v>136421</v>
      </c>
      <c r="N38" s="177">
        <f t="shared" ref="N38:Q38" si="5">SUM(N31:N33)</f>
        <v>140900</v>
      </c>
      <c r="O38" s="177">
        <f t="shared" si="5"/>
        <v>141480</v>
      </c>
      <c r="P38" s="177">
        <f t="shared" si="5"/>
        <v>131280</v>
      </c>
      <c r="Q38" s="177">
        <f t="shared" si="5"/>
        <v>117373</v>
      </c>
    </row>
    <row r="39" spans="1:17">
      <c r="A39" s="175" t="s">
        <v>286</v>
      </c>
      <c r="M39" s="177">
        <f>M34+M35</f>
        <v>426563</v>
      </c>
      <c r="N39" s="177">
        <f t="shared" ref="N39:Q39" si="6">N34+N35</f>
        <v>440356</v>
      </c>
      <c r="O39" s="177">
        <f t="shared" si="6"/>
        <v>465914</v>
      </c>
      <c r="P39" s="177">
        <f t="shared" si="6"/>
        <v>454630</v>
      </c>
      <c r="Q39" s="177">
        <f t="shared" si="6"/>
        <v>464634</v>
      </c>
    </row>
    <row r="40" spans="1:17">
      <c r="A40" s="175" t="s">
        <v>287</v>
      </c>
      <c r="M40" s="177">
        <f>M36</f>
        <v>177665</v>
      </c>
      <c r="N40" s="177">
        <f t="shared" ref="N40:Q40" si="7">N36</f>
        <v>177798</v>
      </c>
      <c r="O40" s="177">
        <f t="shared" si="7"/>
        <v>190257</v>
      </c>
      <c r="P40" s="177">
        <f t="shared" si="7"/>
        <v>209000</v>
      </c>
      <c r="Q40" s="177">
        <f t="shared" si="7"/>
        <v>213081</v>
      </c>
    </row>
    <row r="41" spans="1:17">
      <c r="M41" s="177"/>
      <c r="N41" s="177"/>
      <c r="O41" s="177"/>
      <c r="P41" s="177"/>
      <c r="Q41" s="177"/>
    </row>
    <row r="42" spans="1:17">
      <c r="A42" s="175" t="s">
        <v>285</v>
      </c>
      <c r="M42" s="138">
        <f>ABS((M38/M$30)-(M24/M$15))</f>
        <v>0.16564117204363568</v>
      </c>
      <c r="N42" s="138">
        <f t="shared" ref="N42:Q44" si="8">ABS((N38/N$30)-(N24/N$15))</f>
        <v>0.15988636631701347</v>
      </c>
      <c r="O42" s="138">
        <f t="shared" si="8"/>
        <v>0.16256580541283899</v>
      </c>
      <c r="P42" s="138">
        <f t="shared" si="8"/>
        <v>0.16293255683199867</v>
      </c>
      <c r="Q42" s="138">
        <f t="shared" si="8"/>
        <v>0.17117202694149794</v>
      </c>
    </row>
    <row r="43" spans="1:17">
      <c r="A43" s="175" t="s">
        <v>286</v>
      </c>
      <c r="M43" s="138">
        <f>ABS((M39/$M$30)-(M25/M$15))</f>
        <v>7.9334371672670101E-2</v>
      </c>
      <c r="N43" s="138">
        <f t="shared" si="8"/>
        <v>7.7446998287255542E-2</v>
      </c>
      <c r="O43" s="138">
        <f t="shared" si="8"/>
        <v>7.9510655663225238E-2</v>
      </c>
      <c r="P43" s="138">
        <f t="shared" si="8"/>
        <v>6.9828428162765688E-2</v>
      </c>
      <c r="Q43" s="138">
        <f t="shared" si="8"/>
        <v>7.3279002403334736E-2</v>
      </c>
    </row>
    <row r="44" spans="1:17">
      <c r="A44" s="175" t="s">
        <v>287</v>
      </c>
      <c r="M44" s="138">
        <f>ABS((M40/$M$30)-(M26/M$15))</f>
        <v>8.6307555278880566E-2</v>
      </c>
      <c r="N44" s="138">
        <f t="shared" si="8"/>
        <v>8.2439368029757959E-2</v>
      </c>
      <c r="O44" s="138">
        <f t="shared" si="8"/>
        <v>8.3054556214399222E-2</v>
      </c>
      <c r="P44" s="138">
        <f t="shared" si="8"/>
        <v>9.3105386674866258E-2</v>
      </c>
      <c r="Q44" s="138">
        <f t="shared" si="8"/>
        <v>9.7893688014478258E-2</v>
      </c>
    </row>
    <row r="45" spans="1:17">
      <c r="M45" s="138">
        <f>SUM(M42:M44)</f>
        <v>0.33128309899518638</v>
      </c>
      <c r="N45" s="138">
        <f t="shared" ref="N45:Q45" si="9">SUM(N42:N44)</f>
        <v>0.31977273263402695</v>
      </c>
      <c r="O45" s="138">
        <f t="shared" si="9"/>
        <v>0.32513101729046345</v>
      </c>
      <c r="P45" s="138">
        <f t="shared" si="9"/>
        <v>0.32586637166963062</v>
      </c>
      <c r="Q45" s="138">
        <f t="shared" si="9"/>
        <v>0.34234471735931093</v>
      </c>
    </row>
    <row r="47" spans="1:17">
      <c r="A47" s="175" t="s">
        <v>285</v>
      </c>
      <c r="M47" s="138">
        <f t="shared" ref="M47:Q49" si="10">ABS((M24/M$15)*(M4-M$8))</f>
        <v>3.0085602121510659E-2</v>
      </c>
      <c r="N47" s="138">
        <f t="shared" si="10"/>
        <v>2.9023021307397256E-2</v>
      </c>
      <c r="O47" s="138">
        <f t="shared" si="10"/>
        <v>3.0254358329079651E-2</v>
      </c>
      <c r="P47" s="138">
        <f t="shared" si="10"/>
        <v>3.2480270101430432E-2</v>
      </c>
      <c r="Q47" s="138">
        <f t="shared" si="10"/>
        <v>3.8255383884002847E-2</v>
      </c>
    </row>
    <row r="48" spans="1:17">
      <c r="A48" s="175" t="s">
        <v>286</v>
      </c>
      <c r="M48" s="138">
        <f t="shared" si="10"/>
        <v>0.10080935036176995</v>
      </c>
      <c r="N48" s="138">
        <f t="shared" si="10"/>
        <v>0.10305163659400174</v>
      </c>
      <c r="O48" s="138">
        <f t="shared" si="10"/>
        <v>0.10495616148906113</v>
      </c>
      <c r="P48" s="138">
        <f t="shared" si="10"/>
        <v>0.10092183325828534</v>
      </c>
      <c r="Q48" s="138">
        <f t="shared" si="10"/>
        <v>0.10988700083194677</v>
      </c>
    </row>
    <row r="49" spans="1:17">
      <c r="A49" s="175" t="s">
        <v>287</v>
      </c>
      <c r="M49" s="138">
        <f t="shared" si="10"/>
        <v>4.8681762091985707E-2</v>
      </c>
      <c r="N49" s="138">
        <f t="shared" si="10"/>
        <v>4.7816033379647717E-2</v>
      </c>
      <c r="O49" s="138">
        <f t="shared" si="10"/>
        <v>4.8972121650977543E-2</v>
      </c>
      <c r="P49" s="138">
        <f t="shared" si="10"/>
        <v>5.4341693022439047E-2</v>
      </c>
      <c r="Q49" s="138">
        <f t="shared" si="10"/>
        <v>5.6474328500118853E-2</v>
      </c>
    </row>
    <row r="50" spans="1:17">
      <c r="M50" s="138">
        <f>SUM(M47:M49)</f>
        <v>0.17957671457526633</v>
      </c>
      <c r="N50" s="138">
        <f t="shared" ref="N50:Q50" si="11">SUM(N47:N49)</f>
        <v>0.17989069128104671</v>
      </c>
      <c r="O50" s="138">
        <f t="shared" si="11"/>
        <v>0.18418264146911834</v>
      </c>
      <c r="P50" s="138">
        <f t="shared" si="11"/>
        <v>0.18774379638215483</v>
      </c>
      <c r="Q50" s="138">
        <f t="shared" si="11"/>
        <v>0.20461671321606847</v>
      </c>
    </row>
    <row r="51" spans="1:17">
      <c r="M51" s="138">
        <f t="shared" ref="M51:Q51" si="12">M50*(1/M8)</f>
        <v>0.40720343441103479</v>
      </c>
      <c r="N51" s="138">
        <f t="shared" si="12"/>
        <v>0.39887071237482641</v>
      </c>
      <c r="O51" s="138">
        <f t="shared" si="12"/>
        <v>0.38939247667889709</v>
      </c>
      <c r="P51" s="138">
        <f t="shared" si="12"/>
        <v>0.39776228047066692</v>
      </c>
      <c r="Q51" s="138">
        <f t="shared" si="12"/>
        <v>0.43350998562726367</v>
      </c>
    </row>
    <row r="54" spans="1:17">
      <c r="A54" s="138" t="s">
        <v>301</v>
      </c>
    </row>
    <row r="55" spans="1:17">
      <c r="A55" s="138" t="s">
        <v>302</v>
      </c>
    </row>
    <row r="56" spans="1:17">
      <c r="A56" s="138" t="s">
        <v>303</v>
      </c>
    </row>
    <row r="58" spans="1:17">
      <c r="A58" s="138" t="s">
        <v>304</v>
      </c>
    </row>
    <row r="59" spans="1:17">
      <c r="A59" s="138" t="s">
        <v>305</v>
      </c>
    </row>
    <row r="61" spans="1:17">
      <c r="A61" s="138" t="s">
        <v>306</v>
      </c>
    </row>
    <row r="62" spans="1:17">
      <c r="A62" s="138" t="s">
        <v>307</v>
      </c>
    </row>
    <row r="64" spans="1:17">
      <c r="A64" s="138" t="s">
        <v>308</v>
      </c>
    </row>
    <row r="65" spans="1:1">
      <c r="A65" s="138" t="s">
        <v>309</v>
      </c>
    </row>
    <row r="67" spans="1:1">
      <c r="A67" s="138" t="s">
        <v>310</v>
      </c>
    </row>
    <row r="69" spans="1:1">
      <c r="A69" s="138" t="s">
        <v>311</v>
      </c>
    </row>
    <row r="70" spans="1:1">
      <c r="A70" s="138" t="s">
        <v>312</v>
      </c>
    </row>
    <row r="73" spans="1:1">
      <c r="A73" s="138" t="s">
        <v>313</v>
      </c>
    </row>
    <row r="74" spans="1:1">
      <c r="A74" s="138" t="s">
        <v>314</v>
      </c>
    </row>
    <row r="82" spans="1:1">
      <c r="A82" s="138" t="s">
        <v>315</v>
      </c>
    </row>
    <row r="83" spans="1:1">
      <c r="A83" s="138" t="s">
        <v>316</v>
      </c>
    </row>
  </sheetData>
  <pageMargins left="0.75" right="0.75" top="0.75" bottom="0.5" header="0.5" footer="0.7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AE74"/>
  <sheetViews>
    <sheetView topLeftCell="A54" workbookViewId="0">
      <selection activeCell="P74" sqref="P74"/>
    </sheetView>
  </sheetViews>
  <sheetFormatPr defaultColWidth="8.88671875" defaultRowHeight="14.4"/>
  <cols>
    <col min="1" max="1" width="8.88671875" style="179"/>
    <col min="2" max="2" width="12.5546875" style="179" bestFit="1" customWidth="1"/>
    <col min="3" max="3" width="10.5546875" style="179" customWidth="1"/>
    <col min="4" max="4" width="11.109375" style="179" customWidth="1"/>
    <col min="5" max="5" width="13.33203125" style="179" customWidth="1"/>
    <col min="6" max="6" width="11.109375" style="179" customWidth="1"/>
    <col min="7" max="13" width="12.5546875" style="179" bestFit="1" customWidth="1"/>
    <col min="14" max="14" width="13.5546875" style="179" bestFit="1" customWidth="1"/>
    <col min="15" max="15" width="15.33203125" style="179" bestFit="1" customWidth="1"/>
    <col min="16" max="16" width="12.5546875" style="179" bestFit="1" customWidth="1"/>
    <col min="17" max="19" width="9.33203125" style="179" bestFit="1" customWidth="1"/>
    <col min="20" max="20" width="14" style="179" customWidth="1"/>
    <col min="21" max="21" width="9.33203125" style="179" bestFit="1" customWidth="1"/>
    <col min="22" max="22" width="8.88671875" style="179"/>
    <col min="23" max="23" width="9.33203125" style="179" bestFit="1" customWidth="1"/>
    <col min="24" max="24" width="8.88671875" style="179"/>
    <col min="25" max="26" width="9.33203125" style="179" bestFit="1" customWidth="1"/>
    <col min="27" max="27" width="9.5546875" style="179" bestFit="1" customWidth="1"/>
    <col min="28" max="28" width="10.5546875" style="179" bestFit="1" customWidth="1"/>
    <col min="29" max="31" width="9.33203125" style="179" bestFit="1" customWidth="1"/>
    <col min="32" max="16384" width="8.88671875" style="179"/>
  </cols>
  <sheetData>
    <row r="2" spans="1:31">
      <c r="A2" s="178"/>
      <c r="B2" s="178"/>
      <c r="C2" s="178"/>
      <c r="D2" s="178"/>
      <c r="E2" s="178"/>
      <c r="F2" s="178"/>
      <c r="G2" s="178" t="s">
        <v>40</v>
      </c>
      <c r="H2" s="178"/>
      <c r="I2" s="178"/>
      <c r="J2" s="178"/>
      <c r="K2" s="178"/>
    </row>
    <row r="3" spans="1:31">
      <c r="A3" s="178"/>
      <c r="B3" s="178" t="s">
        <v>36</v>
      </c>
      <c r="C3" s="178"/>
      <c r="D3" s="178"/>
      <c r="E3" s="178"/>
      <c r="F3" s="178"/>
      <c r="G3" s="178" t="s">
        <v>37</v>
      </c>
      <c r="H3" s="178"/>
      <c r="I3" s="178"/>
      <c r="J3" s="178"/>
      <c r="K3" s="178"/>
      <c r="P3" s="178"/>
      <c r="Q3" s="178" t="s">
        <v>38</v>
      </c>
      <c r="R3" s="178"/>
      <c r="S3" s="178"/>
      <c r="T3" s="178"/>
      <c r="U3" s="178"/>
      <c r="V3" s="178" t="s">
        <v>39</v>
      </c>
      <c r="W3" s="178"/>
      <c r="X3" s="178"/>
      <c r="Y3" s="178"/>
      <c r="Z3" s="178"/>
    </row>
    <row r="4" spans="1:31">
      <c r="A4" s="178" t="s">
        <v>28</v>
      </c>
      <c r="B4" s="180" t="s">
        <v>29</v>
      </c>
      <c r="C4" s="180" t="s">
        <v>30</v>
      </c>
      <c r="D4" s="180" t="s">
        <v>31</v>
      </c>
      <c r="E4" s="180" t="s">
        <v>32</v>
      </c>
      <c r="F4" s="180" t="s">
        <v>33</v>
      </c>
      <c r="G4" s="178" t="s">
        <v>29</v>
      </c>
      <c r="H4" s="178" t="s">
        <v>30</v>
      </c>
      <c r="I4" s="178" t="s">
        <v>31</v>
      </c>
      <c r="J4" s="178" t="s">
        <v>32</v>
      </c>
      <c r="K4" s="178" t="s">
        <v>33</v>
      </c>
      <c r="P4" s="178" t="s">
        <v>33</v>
      </c>
      <c r="Q4" s="178" t="s">
        <v>29</v>
      </c>
      <c r="R4" s="178" t="s">
        <v>30</v>
      </c>
      <c r="S4" s="178" t="s">
        <v>31</v>
      </c>
      <c r="T4" s="178" t="s">
        <v>32</v>
      </c>
      <c r="U4" s="178" t="s">
        <v>33</v>
      </c>
      <c r="V4" s="178" t="s">
        <v>29</v>
      </c>
      <c r="W4" s="178" t="s">
        <v>30</v>
      </c>
      <c r="X4" s="178" t="s">
        <v>31</v>
      </c>
      <c r="Y4" s="178" t="s">
        <v>32</v>
      </c>
      <c r="Z4" s="178" t="s">
        <v>33</v>
      </c>
    </row>
    <row r="5" spans="1:31">
      <c r="A5" s="178">
        <v>2000</v>
      </c>
      <c r="B5" s="181">
        <v>13978.8330078125</v>
      </c>
      <c r="C5" s="181">
        <v>19574.482421875</v>
      </c>
      <c r="D5" s="181">
        <v>4431.18994140625</v>
      </c>
      <c r="E5" s="181">
        <v>14156.4833984375</v>
      </c>
      <c r="F5" s="181">
        <v>51462.5859375</v>
      </c>
      <c r="G5" s="181">
        <v>105178.5</v>
      </c>
      <c r="H5" s="181">
        <v>48411.6640625</v>
      </c>
      <c r="I5" s="181">
        <v>19542.380859375</v>
      </c>
      <c r="J5" s="181">
        <v>97448.1484375</v>
      </c>
      <c r="K5" s="181">
        <v>418324.1875</v>
      </c>
      <c r="L5" s="182"/>
      <c r="M5" s="182"/>
      <c r="N5" s="182"/>
      <c r="O5" s="182"/>
      <c r="P5" s="183">
        <v>0.64665627479553223</v>
      </c>
      <c r="Q5" s="183">
        <v>2.9928456991910934E-2</v>
      </c>
      <c r="R5" s="183">
        <v>4.1977126151323318E-2</v>
      </c>
      <c r="S5" s="183">
        <v>3.4815844148397446E-2</v>
      </c>
      <c r="T5" s="183">
        <v>3.151274099946022E-2</v>
      </c>
      <c r="U5" s="184">
        <v>2.8557362034916878E-2</v>
      </c>
      <c r="V5" s="184"/>
      <c r="W5" s="184">
        <v>0.63870269060134888</v>
      </c>
      <c r="X5" s="184"/>
      <c r="Y5" s="184">
        <v>0.62997734546661377</v>
      </c>
      <c r="Z5" s="184">
        <v>0.6283838152885437</v>
      </c>
      <c r="AA5" s="182"/>
      <c r="AB5" s="182"/>
      <c r="AC5" s="182"/>
      <c r="AD5" s="182"/>
      <c r="AE5" s="182"/>
    </row>
    <row r="6" spans="1:31">
      <c r="A6" s="178">
        <v>2001</v>
      </c>
      <c r="B6" s="181">
        <v>14638.7314453125</v>
      </c>
      <c r="C6" s="181">
        <v>20271.86328125</v>
      </c>
      <c r="D6" s="181">
        <v>4881.24365234375</v>
      </c>
      <c r="E6" s="181">
        <v>14760.4287109375</v>
      </c>
      <c r="F6" s="181">
        <v>48495.73046875</v>
      </c>
      <c r="G6" s="181">
        <v>107866.21875</v>
      </c>
      <c r="H6" s="181">
        <v>52708.69921875</v>
      </c>
      <c r="I6" s="181">
        <v>19697.15234375</v>
      </c>
      <c r="J6" s="181">
        <v>98710.0390625</v>
      </c>
      <c r="K6" s="181">
        <v>414845.90625</v>
      </c>
      <c r="L6" s="182"/>
      <c r="M6" s="182"/>
      <c r="N6" s="182"/>
      <c r="O6" s="182"/>
      <c r="P6" s="183">
        <v>0.68414932489395142</v>
      </c>
      <c r="Q6" s="183">
        <v>3.0350608751177788E-2</v>
      </c>
      <c r="R6" s="183">
        <v>4.1930556297302246E-2</v>
      </c>
      <c r="S6" s="183">
        <v>3.4804999828338623E-2</v>
      </c>
      <c r="T6" s="183">
        <v>3.1411070376634598E-2</v>
      </c>
      <c r="U6" s="184">
        <v>2.841867133975029E-2</v>
      </c>
      <c r="V6" s="184"/>
      <c r="W6" s="184">
        <v>0.63870269060134888</v>
      </c>
      <c r="X6" s="184"/>
      <c r="Y6" s="184">
        <v>0.60206657648086548</v>
      </c>
      <c r="Z6" s="184">
        <v>0.66517794132232666</v>
      </c>
      <c r="AA6" s="182"/>
      <c r="AB6" s="182"/>
      <c r="AC6" s="182"/>
      <c r="AD6" s="182"/>
      <c r="AE6" s="182"/>
    </row>
    <row r="7" spans="1:31">
      <c r="A7" s="178">
        <v>2002</v>
      </c>
      <c r="B7" s="181">
        <v>15112.748046875</v>
      </c>
      <c r="C7" s="181">
        <v>21408.478515625</v>
      </c>
      <c r="D7" s="181">
        <v>4778.68896484375</v>
      </c>
      <c r="E7" s="181">
        <v>14761.4306640625</v>
      </c>
      <c r="F7" s="181">
        <v>52605.0234375</v>
      </c>
      <c r="G7" s="181">
        <v>110673.0859375</v>
      </c>
      <c r="H7" s="181">
        <v>57770.19140625</v>
      </c>
      <c r="I7" s="181">
        <v>20023.50390625</v>
      </c>
      <c r="J7" s="181">
        <v>99864.90625</v>
      </c>
      <c r="K7" s="181">
        <v>415092.375</v>
      </c>
      <c r="L7" s="182"/>
      <c r="M7" s="182"/>
      <c r="N7" s="182"/>
      <c r="O7" s="182"/>
      <c r="P7" s="183">
        <v>0.73772251605987549</v>
      </c>
      <c r="Q7" s="183">
        <v>3.072182834148407E-2</v>
      </c>
      <c r="R7" s="183">
        <v>4.2270705103874207E-2</v>
      </c>
      <c r="S7" s="183">
        <v>3.5080887377262115E-2</v>
      </c>
      <c r="T7" s="183">
        <v>3.1360078603029251E-2</v>
      </c>
      <c r="U7" s="184">
        <v>2.8446163982152939E-2</v>
      </c>
      <c r="V7" s="184"/>
      <c r="W7" s="184">
        <v>0.63870269060134888</v>
      </c>
      <c r="X7" s="184"/>
      <c r="Y7" s="184">
        <v>0.61364054679870605</v>
      </c>
      <c r="Z7" s="184">
        <v>0.69175171852111816</v>
      </c>
      <c r="AA7" s="182"/>
      <c r="AB7" s="182"/>
      <c r="AC7" s="182"/>
      <c r="AD7" s="182"/>
      <c r="AE7" s="182"/>
    </row>
    <row r="8" spans="1:31">
      <c r="A8" s="178">
        <v>2003</v>
      </c>
      <c r="B8" s="181">
        <v>16077.830078125</v>
      </c>
      <c r="C8" s="181">
        <v>22168.783203125</v>
      </c>
      <c r="D8" s="181">
        <v>4803.53076171875</v>
      </c>
      <c r="E8" s="181">
        <v>15223.662109375</v>
      </c>
      <c r="F8" s="181">
        <v>56952.1953125</v>
      </c>
      <c r="G8" s="181">
        <v>113805.7109375</v>
      </c>
      <c r="H8" s="181">
        <v>62871.2109375</v>
      </c>
      <c r="I8" s="181">
        <v>20155.294921875</v>
      </c>
      <c r="J8" s="181">
        <v>100786.2734375</v>
      </c>
      <c r="K8" s="181">
        <v>418032.8125</v>
      </c>
      <c r="L8" s="182"/>
      <c r="M8" s="182"/>
      <c r="N8" s="182"/>
      <c r="O8" s="182"/>
      <c r="P8" s="183">
        <v>0.77246248722076416</v>
      </c>
      <c r="Q8" s="183">
        <v>3.1101185828447342E-2</v>
      </c>
      <c r="R8" s="183">
        <v>4.3543051928281784E-2</v>
      </c>
      <c r="S8" s="183">
        <v>3.5151518881320953E-2</v>
      </c>
      <c r="T8" s="183">
        <v>3.1112831085920334E-2</v>
      </c>
      <c r="U8" s="184">
        <v>2.8848620131611824E-2</v>
      </c>
      <c r="V8" s="184"/>
      <c r="W8" s="184">
        <v>0.63870269060134888</v>
      </c>
      <c r="X8" s="184"/>
      <c r="Y8" s="184">
        <v>0.60719788074493408</v>
      </c>
      <c r="Z8" s="184">
        <v>0.7018352746963501</v>
      </c>
      <c r="AA8" s="182"/>
      <c r="AB8" s="182"/>
      <c r="AC8" s="182"/>
      <c r="AD8" s="182"/>
      <c r="AE8" s="182"/>
    </row>
    <row r="9" spans="1:31">
      <c r="A9" s="178">
        <v>2004</v>
      </c>
      <c r="B9" s="181">
        <v>17084.943359375</v>
      </c>
      <c r="C9" s="181">
        <v>23869.3984375</v>
      </c>
      <c r="D9" s="181">
        <v>5024.078125</v>
      </c>
      <c r="E9" s="181">
        <v>15918.16015625</v>
      </c>
      <c r="F9" s="181">
        <v>58723.3046875</v>
      </c>
      <c r="G9" s="181">
        <v>117607.921875</v>
      </c>
      <c r="H9" s="181">
        <v>67407.5703125</v>
      </c>
      <c r="I9" s="181">
        <v>20339.67578125</v>
      </c>
      <c r="J9" s="181">
        <v>102073.8984375</v>
      </c>
      <c r="K9" s="181">
        <v>423109.71875</v>
      </c>
      <c r="L9" s="182"/>
      <c r="M9" s="182"/>
      <c r="N9" s="182"/>
      <c r="O9" s="182"/>
      <c r="P9" s="183">
        <v>0.88982230424880981</v>
      </c>
      <c r="Q9" s="183">
        <v>3.1104562804102898E-2</v>
      </c>
      <c r="R9" s="183">
        <v>4.5248467475175858E-2</v>
      </c>
      <c r="S9" s="183">
        <v>3.5126887261867523E-2</v>
      </c>
      <c r="T9" s="183">
        <v>3.0804282054305077E-2</v>
      </c>
      <c r="U9" s="184">
        <v>2.9707750305533409E-2</v>
      </c>
      <c r="V9" s="184"/>
      <c r="W9" s="184">
        <v>0.63870269060134888</v>
      </c>
      <c r="X9" s="184"/>
      <c r="Y9" s="184">
        <v>0.57467222213745117</v>
      </c>
      <c r="Z9" s="184">
        <v>0.66351503133773804</v>
      </c>
      <c r="AA9" s="182"/>
      <c r="AB9" s="182"/>
      <c r="AC9" s="182"/>
      <c r="AD9" s="182"/>
      <c r="AE9" s="182"/>
    </row>
    <row r="10" spans="1:31">
      <c r="A10" s="178">
        <v>2005</v>
      </c>
      <c r="B10" s="181">
        <v>18008.240234375</v>
      </c>
      <c r="C10" s="181">
        <v>25442.076171875</v>
      </c>
      <c r="D10" s="181">
        <v>5332.77197265625</v>
      </c>
      <c r="E10" s="181">
        <v>17080.046875</v>
      </c>
      <c r="F10" s="181">
        <v>64452.68359375</v>
      </c>
      <c r="G10" s="181">
        <v>121906.8046875</v>
      </c>
      <c r="H10" s="181">
        <v>73165.7421875</v>
      </c>
      <c r="I10" s="181">
        <v>20622.056640625</v>
      </c>
      <c r="J10" s="181">
        <v>102822.171875</v>
      </c>
      <c r="K10" s="181">
        <v>427836.03125</v>
      </c>
      <c r="L10" s="182"/>
      <c r="M10" s="182"/>
      <c r="N10" s="182"/>
      <c r="O10" s="182"/>
      <c r="P10" s="183">
        <v>0.95342665910720825</v>
      </c>
      <c r="Q10" s="183">
        <v>3.0813191086053848E-2</v>
      </c>
      <c r="R10" s="183">
        <v>4.7058220952749252E-2</v>
      </c>
      <c r="S10" s="183">
        <v>3.5371247678995132E-2</v>
      </c>
      <c r="T10" s="183">
        <v>3.0578272417187691E-2</v>
      </c>
      <c r="U10" s="184">
        <v>3.0685510486364365E-2</v>
      </c>
      <c r="V10" s="184"/>
      <c r="W10" s="184">
        <v>0.63870269060134888</v>
      </c>
      <c r="X10" s="184"/>
      <c r="Y10" s="184">
        <v>0.51316046714782715</v>
      </c>
      <c r="Z10" s="184">
        <v>0.64315289258956909</v>
      </c>
      <c r="AA10" s="182"/>
      <c r="AB10" s="182"/>
      <c r="AC10" s="182"/>
      <c r="AD10" s="182"/>
      <c r="AE10" s="182"/>
    </row>
    <row r="11" spans="1:31">
      <c r="A11" s="178">
        <v>2006</v>
      </c>
      <c r="B11" s="181">
        <v>19568.568359375</v>
      </c>
      <c r="C11" s="181">
        <v>28738.6875</v>
      </c>
      <c r="D11" s="181">
        <v>6188.91357421875</v>
      </c>
      <c r="E11" s="181">
        <v>18328.134765625</v>
      </c>
      <c r="F11" s="181">
        <v>75092.703125</v>
      </c>
      <c r="G11" s="181">
        <v>126748.9921875</v>
      </c>
      <c r="H11" s="181">
        <v>77706.046875</v>
      </c>
      <c r="I11" s="181">
        <v>21252.515625</v>
      </c>
      <c r="J11" s="181">
        <v>103930.2734375</v>
      </c>
      <c r="K11" s="181">
        <v>434720.15625</v>
      </c>
      <c r="L11" s="182"/>
      <c r="M11" s="182"/>
      <c r="N11" s="182"/>
      <c r="O11" s="182"/>
      <c r="P11" s="183">
        <v>0.98734337091445923</v>
      </c>
      <c r="Q11" s="183">
        <v>3.0676703900098801E-2</v>
      </c>
      <c r="R11" s="183">
        <v>4.8168972134590149E-2</v>
      </c>
      <c r="S11" s="183">
        <v>3.6423422396183014E-2</v>
      </c>
      <c r="T11" s="183">
        <v>3.0432537198066711E-2</v>
      </c>
      <c r="U11" s="184">
        <v>3.1768415123224258E-2</v>
      </c>
      <c r="V11" s="184"/>
      <c r="W11" s="184">
        <v>0.64881449937820435</v>
      </c>
      <c r="X11" s="184"/>
      <c r="Y11" s="184">
        <v>0.50815337896347046</v>
      </c>
      <c r="Z11" s="184">
        <v>0.65226411819458008</v>
      </c>
      <c r="AA11" s="182"/>
      <c r="AB11" s="182"/>
      <c r="AC11" s="182"/>
      <c r="AD11" s="182"/>
      <c r="AE11" s="182"/>
    </row>
    <row r="12" spans="1:31">
      <c r="A12" s="178">
        <v>2007</v>
      </c>
      <c r="B12" s="181">
        <v>21211.17578125</v>
      </c>
      <c r="C12" s="181">
        <v>31220.890625</v>
      </c>
      <c r="D12" s="181">
        <v>7542.52490234375</v>
      </c>
      <c r="E12" s="181">
        <v>19589.578125</v>
      </c>
      <c r="F12" s="181">
        <v>79495.1953125</v>
      </c>
      <c r="G12" s="181">
        <v>131864.453125</v>
      </c>
      <c r="H12" s="181">
        <v>83849.9296875</v>
      </c>
      <c r="I12" s="181">
        <v>22906.796875</v>
      </c>
      <c r="J12" s="181">
        <v>105750.1484375</v>
      </c>
      <c r="K12" s="181">
        <v>445395.71875</v>
      </c>
      <c r="L12" s="182"/>
      <c r="M12" s="182"/>
      <c r="N12" s="182"/>
      <c r="O12" s="182"/>
      <c r="P12" s="183">
        <v>0.99590444564819336</v>
      </c>
      <c r="Q12" s="183">
        <v>3.0689755454659462E-2</v>
      </c>
      <c r="R12" s="183">
        <v>4.9115002155303955E-2</v>
      </c>
      <c r="S12" s="183">
        <v>3.8683619350194931E-2</v>
      </c>
      <c r="T12" s="183">
        <v>3.0652893707156181E-2</v>
      </c>
      <c r="U12" s="184">
        <v>3.34438756108284E-2</v>
      </c>
      <c r="V12" s="184"/>
      <c r="W12" s="184">
        <v>0.65479743480682373</v>
      </c>
      <c r="X12" s="184"/>
      <c r="Y12" s="184">
        <v>0.47265869379043579</v>
      </c>
      <c r="Z12" s="184">
        <v>0.65842294692993164</v>
      </c>
      <c r="AA12" s="182"/>
      <c r="AB12" s="182"/>
      <c r="AC12" s="182"/>
      <c r="AD12" s="182"/>
      <c r="AE12" s="182"/>
    </row>
    <row r="13" spans="1:31">
      <c r="A13" s="178">
        <v>2008</v>
      </c>
      <c r="B13" s="181">
        <v>23183.30859375</v>
      </c>
      <c r="C13" s="181">
        <v>33335.87109375</v>
      </c>
      <c r="D13" s="181">
        <v>8051.0390625</v>
      </c>
      <c r="E13" s="181">
        <v>21205.74609375</v>
      </c>
      <c r="F13" s="181">
        <v>87952.3828125</v>
      </c>
      <c r="G13" s="181">
        <v>137232.234375</v>
      </c>
      <c r="H13" s="181">
        <v>91163.2421875</v>
      </c>
      <c r="I13" s="181">
        <v>25206.736328125</v>
      </c>
      <c r="J13" s="181">
        <v>108340.6796875</v>
      </c>
      <c r="K13" s="181">
        <v>456333.25</v>
      </c>
      <c r="L13" s="182"/>
      <c r="M13" s="182"/>
      <c r="N13" s="182"/>
      <c r="O13" s="182"/>
      <c r="P13" s="183">
        <v>0.99567067623138428</v>
      </c>
      <c r="Q13" s="183">
        <v>3.0901923775672913E-2</v>
      </c>
      <c r="R13" s="183">
        <v>5.0505846738815308E-2</v>
      </c>
      <c r="S13" s="183">
        <v>4.1403278708457947E-2</v>
      </c>
      <c r="T13" s="183">
        <v>3.1318709254264832E-2</v>
      </c>
      <c r="U13" s="184">
        <v>3.5511761903762817E-2</v>
      </c>
      <c r="V13" s="184"/>
      <c r="W13" s="184">
        <v>0.66481328010559082</v>
      </c>
      <c r="X13" s="184"/>
      <c r="Y13" s="184">
        <v>0.5236479640007019</v>
      </c>
      <c r="Z13" s="184">
        <v>0.6210097074508667</v>
      </c>
      <c r="AA13" s="182"/>
      <c r="AB13" s="182"/>
      <c r="AC13" s="182"/>
      <c r="AD13" s="182"/>
      <c r="AE13" s="182"/>
    </row>
    <row r="14" spans="1:31">
      <c r="A14" s="178">
        <v>2010</v>
      </c>
      <c r="B14" s="181">
        <v>27179.69921875</v>
      </c>
      <c r="C14" s="181">
        <v>34305.8515625</v>
      </c>
      <c r="D14" s="181">
        <v>8533.7578125</v>
      </c>
      <c r="E14" s="181">
        <v>23164.904296875</v>
      </c>
      <c r="F14" s="181">
        <v>88723.1171875</v>
      </c>
      <c r="G14" s="181">
        <v>146766.890625</v>
      </c>
      <c r="H14" s="181">
        <v>99219.390625</v>
      </c>
      <c r="I14" s="181">
        <v>27220.662109375</v>
      </c>
      <c r="J14" s="181">
        <v>113132.78125</v>
      </c>
      <c r="K14" s="181">
        <v>462552.5</v>
      </c>
      <c r="L14" s="182"/>
      <c r="M14" s="182"/>
      <c r="N14" s="182"/>
      <c r="O14" s="182"/>
      <c r="P14" s="183">
        <v>0.97131669521331787</v>
      </c>
      <c r="Q14" s="183">
        <v>3.1260248273611069E-2</v>
      </c>
      <c r="R14" s="183">
        <v>5.0758671015501022E-2</v>
      </c>
      <c r="S14" s="183">
        <v>4.1754227131605148E-2</v>
      </c>
      <c r="T14" s="183">
        <v>3.2554809004068375E-2</v>
      </c>
      <c r="U14" s="184">
        <v>3.7162076681852341E-2</v>
      </c>
      <c r="V14" s="184"/>
      <c r="W14" s="184">
        <v>0.67110228538513184</v>
      </c>
      <c r="X14" s="184"/>
      <c r="Y14" s="184">
        <v>0.53205913305282593</v>
      </c>
      <c r="Z14" s="184">
        <v>0.59272444248199463</v>
      </c>
      <c r="AA14" s="182"/>
      <c r="AB14" s="182"/>
      <c r="AC14" s="182"/>
      <c r="AD14" s="182"/>
      <c r="AE14" s="182"/>
    </row>
    <row r="15" spans="1:31">
      <c r="A15" s="178">
        <v>2011</v>
      </c>
      <c r="B15" s="181">
        <v>28091.71484375</v>
      </c>
      <c r="C15" s="181">
        <v>35240.26953125</v>
      </c>
      <c r="D15" s="181">
        <v>8808.748046875</v>
      </c>
      <c r="E15" s="181">
        <v>23462.138671875</v>
      </c>
      <c r="F15" s="181">
        <v>92968.828125</v>
      </c>
      <c r="G15" s="181">
        <v>151424.9375</v>
      </c>
      <c r="H15" s="181">
        <v>103026.75</v>
      </c>
      <c r="I15" s="181">
        <v>27847.91796875</v>
      </c>
      <c r="J15" s="181">
        <v>116021.7421875</v>
      </c>
      <c r="K15" s="181">
        <v>465587.78125</v>
      </c>
      <c r="L15" s="182"/>
      <c r="M15" s="182"/>
      <c r="N15" s="182"/>
      <c r="O15" s="182"/>
      <c r="P15" s="183">
        <v>1</v>
      </c>
      <c r="Q15" s="183">
        <v>3.1441736966371536E-2</v>
      </c>
      <c r="R15" s="183">
        <v>5.0459936261177063E-2</v>
      </c>
      <c r="S15" s="183">
        <v>4.1032087057828903E-2</v>
      </c>
      <c r="T15" s="183">
        <v>3.2850898802280426E-2</v>
      </c>
      <c r="U15" s="184">
        <v>3.7486378103494644E-2</v>
      </c>
      <c r="V15" s="184"/>
      <c r="W15" s="184">
        <v>0.67110228538513184</v>
      </c>
      <c r="X15" s="184"/>
      <c r="Y15" s="184">
        <v>0.51432013511657715</v>
      </c>
      <c r="Z15" s="184">
        <v>0.5805550217628479</v>
      </c>
      <c r="AA15" s="182"/>
      <c r="AB15" s="182"/>
      <c r="AC15" s="182"/>
      <c r="AD15" s="182"/>
      <c r="AE15" s="182"/>
    </row>
    <row r="16" spans="1:31">
      <c r="A16" s="178">
        <v>2012</v>
      </c>
      <c r="B16" s="181">
        <v>28962.36328125</v>
      </c>
      <c r="C16" s="181">
        <v>35415.02734375</v>
      </c>
      <c r="D16" s="181">
        <v>8241.2509765625</v>
      </c>
      <c r="E16" s="181">
        <v>23576.40234375</v>
      </c>
      <c r="F16" s="181">
        <v>93248.0078125</v>
      </c>
      <c r="G16" s="181">
        <v>155154.703125</v>
      </c>
      <c r="H16" s="181">
        <v>106616.046875</v>
      </c>
      <c r="I16" s="181">
        <v>28425.884765625</v>
      </c>
      <c r="J16" s="181">
        <v>119202.7578125</v>
      </c>
      <c r="K16" s="181">
        <v>471031.1875</v>
      </c>
      <c r="L16" s="182"/>
      <c r="M16" s="182"/>
      <c r="N16" s="182"/>
      <c r="O16" s="182"/>
      <c r="P16" s="183">
        <v>0.97784996032714844</v>
      </c>
      <c r="Q16" s="183">
        <v>3.1778432428836823E-2</v>
      </c>
      <c r="R16" s="183">
        <v>5.0426386296749115E-2</v>
      </c>
      <c r="S16" s="183">
        <v>4.0364895015954971E-2</v>
      </c>
      <c r="T16" s="183">
        <v>3.3233825117349625E-2</v>
      </c>
      <c r="U16" s="184">
        <v>3.8226880133152008E-2</v>
      </c>
      <c r="V16" s="184"/>
      <c r="W16" s="184">
        <v>0.67110228538513184</v>
      </c>
      <c r="X16" s="184"/>
      <c r="Y16" s="184">
        <v>0.50954508781433105</v>
      </c>
      <c r="Z16" s="184">
        <v>0.58935606479644775</v>
      </c>
      <c r="AA16" s="182"/>
      <c r="AB16" s="182"/>
      <c r="AC16" s="182"/>
      <c r="AD16" s="182"/>
      <c r="AE16" s="182"/>
    </row>
    <row r="17" spans="1:31">
      <c r="A17" s="178">
        <v>2013</v>
      </c>
      <c r="B17" s="181">
        <v>28444.091796875</v>
      </c>
      <c r="C17" s="181">
        <v>36523.4765625</v>
      </c>
      <c r="D17" s="181">
        <v>8596.57421875</v>
      </c>
      <c r="E17" s="181">
        <v>24722.798828125</v>
      </c>
      <c r="F17" s="181">
        <v>95865.8828125</v>
      </c>
      <c r="G17" s="181">
        <v>158567.40625</v>
      </c>
      <c r="H17" s="181">
        <v>110226.40625</v>
      </c>
      <c r="I17" s="181">
        <v>29165.146484375</v>
      </c>
      <c r="J17" s="181">
        <v>122466.21875</v>
      </c>
      <c r="K17" s="181">
        <v>473080.40625</v>
      </c>
      <c r="L17" s="182"/>
      <c r="M17" s="182"/>
      <c r="N17" s="182"/>
      <c r="O17" s="182"/>
      <c r="P17" s="183">
        <v>0.96986126899719238</v>
      </c>
      <c r="Q17" s="183">
        <v>3.2148055732250214E-2</v>
      </c>
      <c r="R17" s="183">
        <v>5.0226863473653793E-2</v>
      </c>
      <c r="S17" s="183">
        <v>4.0320351719856262E-2</v>
      </c>
      <c r="T17" s="183">
        <v>3.3751331269741058E-2</v>
      </c>
      <c r="U17" s="184">
        <v>3.9201837033033371E-2</v>
      </c>
      <c r="V17" s="184"/>
      <c r="W17" s="184">
        <v>0.67110228538513184</v>
      </c>
      <c r="X17" s="184"/>
      <c r="Y17" s="184">
        <v>0.48140829801559448</v>
      </c>
      <c r="Z17" s="184">
        <v>0.56958508491516113</v>
      </c>
      <c r="AA17" s="182"/>
      <c r="AB17" s="182"/>
      <c r="AC17" s="182"/>
      <c r="AD17" s="182"/>
      <c r="AE17" s="182"/>
    </row>
    <row r="18" spans="1:31">
      <c r="A18" s="178">
        <v>2014</v>
      </c>
      <c r="B18" s="181">
        <v>29826.75</v>
      </c>
      <c r="C18" s="181">
        <v>36577.8203125</v>
      </c>
      <c r="D18" s="181">
        <v>8721.2724609375</v>
      </c>
      <c r="E18" s="181">
        <v>25684.404296875</v>
      </c>
      <c r="F18" s="181">
        <v>93441.6953125</v>
      </c>
      <c r="G18" s="181">
        <v>161438.3125</v>
      </c>
      <c r="H18" s="181">
        <v>114769.71875</v>
      </c>
      <c r="I18" s="181">
        <v>29826.607421875</v>
      </c>
      <c r="J18" s="181">
        <v>125858.84375</v>
      </c>
      <c r="K18" s="181">
        <v>474012.65625</v>
      </c>
      <c r="L18" s="182"/>
      <c r="M18" s="182"/>
      <c r="N18" s="182"/>
      <c r="O18" s="182"/>
      <c r="P18" s="183">
        <v>0.92051953077316284</v>
      </c>
      <c r="Q18" s="183">
        <v>3.2437566667795181E-2</v>
      </c>
      <c r="R18" s="183">
        <v>5.0018690526485443E-2</v>
      </c>
      <c r="S18" s="183">
        <v>4.0650568902492523E-2</v>
      </c>
      <c r="T18" s="183">
        <v>3.4397315233945847E-2</v>
      </c>
      <c r="U18" s="184">
        <v>3.9981629699468613E-2</v>
      </c>
      <c r="V18" s="184"/>
      <c r="W18" s="184">
        <v>0.67110228538513184</v>
      </c>
      <c r="X18" s="184"/>
      <c r="Y18" s="184">
        <v>0.50208020210266113</v>
      </c>
      <c r="Z18" s="184">
        <v>0.56958508491516113</v>
      </c>
      <c r="AA18" s="182"/>
      <c r="AB18" s="182"/>
      <c r="AC18" s="182"/>
      <c r="AD18" s="182"/>
      <c r="AE18" s="182"/>
    </row>
    <row r="19" spans="1:31">
      <c r="A19" s="178">
        <v>2015</v>
      </c>
      <c r="B19" s="181">
        <v>31501.306640625</v>
      </c>
      <c r="C19" s="181">
        <v>38601.68359375</v>
      </c>
      <c r="D19" s="181">
        <v>9283.330078125</v>
      </c>
      <c r="E19" s="181">
        <v>27156.943359375</v>
      </c>
      <c r="F19" s="181">
        <v>97445.46875</v>
      </c>
      <c r="G19" s="181">
        <v>164493.4375</v>
      </c>
      <c r="H19" s="181">
        <v>118751.1796875</v>
      </c>
      <c r="I19" s="181">
        <v>30682.34765625</v>
      </c>
      <c r="J19" s="181">
        <v>129881.5234375</v>
      </c>
      <c r="K19" s="181">
        <v>475741.6875</v>
      </c>
      <c r="L19" s="182"/>
      <c r="M19" s="182"/>
      <c r="N19" s="182"/>
      <c r="O19" s="182"/>
      <c r="P19" s="183">
        <v>0.91145670413970947</v>
      </c>
      <c r="Q19" s="183">
        <v>3.2579421997070313E-2</v>
      </c>
      <c r="R19" s="183">
        <v>5.018702894449234E-2</v>
      </c>
      <c r="S19" s="183">
        <v>4.1033994406461716E-2</v>
      </c>
      <c r="T19" s="183">
        <v>3.5067144781351089E-2</v>
      </c>
      <c r="U19" s="184">
        <v>4.0782183408737183E-2</v>
      </c>
      <c r="V19" s="184"/>
      <c r="W19" s="184">
        <v>0.67110228538513184</v>
      </c>
      <c r="X19" s="184"/>
      <c r="Y19" s="184">
        <v>0.4904572069644928</v>
      </c>
      <c r="Z19" s="184">
        <v>0.56958508491516113</v>
      </c>
      <c r="AA19" s="182"/>
      <c r="AB19" s="182"/>
      <c r="AC19" s="182"/>
      <c r="AD19" s="182"/>
      <c r="AE19" s="182"/>
    </row>
    <row r="20" spans="1:31">
      <c r="A20" s="178">
        <v>2016</v>
      </c>
      <c r="B20" s="181">
        <v>31732.017578125</v>
      </c>
      <c r="C20" s="181">
        <v>40398.09765625</v>
      </c>
      <c r="D20" s="181">
        <v>10057.310546875</v>
      </c>
      <c r="E20" s="181">
        <v>28739.986328125</v>
      </c>
      <c r="F20" s="181">
        <v>101017.4296875</v>
      </c>
      <c r="G20" s="181">
        <v>167724.5625</v>
      </c>
      <c r="H20" s="181">
        <v>122780.2421875</v>
      </c>
      <c r="I20" s="181">
        <v>32065.966796875</v>
      </c>
      <c r="J20" s="181">
        <v>134519.796875</v>
      </c>
      <c r="K20" s="181">
        <v>478166.0625</v>
      </c>
      <c r="L20" s="182"/>
      <c r="M20" s="182"/>
      <c r="N20" s="182"/>
      <c r="O20" s="182"/>
      <c r="P20" s="183">
        <v>0.89417368173599243</v>
      </c>
      <c r="Q20" s="183">
        <v>3.2691732048988342E-2</v>
      </c>
      <c r="R20" s="183">
        <v>5.0488486886024475E-2</v>
      </c>
      <c r="S20" s="183">
        <v>4.1449163109064102E-2</v>
      </c>
      <c r="T20" s="183">
        <v>3.592449426651001E-2</v>
      </c>
      <c r="U20" s="184">
        <v>4.1690852493047714E-2</v>
      </c>
      <c r="V20" s="184"/>
      <c r="W20" s="184">
        <v>0.67110228538513184</v>
      </c>
      <c r="X20" s="184"/>
      <c r="Y20" s="184">
        <v>0.4904572069644928</v>
      </c>
      <c r="Z20" s="184">
        <v>0.56958508491516113</v>
      </c>
      <c r="AA20" s="182"/>
      <c r="AB20" s="182"/>
      <c r="AC20" s="182"/>
      <c r="AD20" s="182"/>
      <c r="AE20" s="182"/>
    </row>
    <row r="21" spans="1:31">
      <c r="A21" s="178">
        <v>2017</v>
      </c>
      <c r="B21" s="181">
        <v>34074.7578125</v>
      </c>
      <c r="C21" s="181">
        <v>42502.48046875</v>
      </c>
      <c r="D21" s="181">
        <v>10676.8134765625</v>
      </c>
      <c r="E21" s="181">
        <v>29203.609375</v>
      </c>
      <c r="F21" s="181">
        <v>103416.140625</v>
      </c>
      <c r="G21" s="181">
        <v>171497.171875</v>
      </c>
      <c r="H21" s="181">
        <v>126734.8125</v>
      </c>
      <c r="I21" s="181">
        <v>34094.59375</v>
      </c>
      <c r="J21" s="181">
        <v>140462.515625</v>
      </c>
      <c r="K21" s="181">
        <v>481786.5</v>
      </c>
      <c r="L21" s="182"/>
      <c r="M21" s="182"/>
      <c r="N21" s="182"/>
      <c r="O21" s="182"/>
      <c r="P21" s="183">
        <v>0.89941680431365967</v>
      </c>
      <c r="Q21" s="183">
        <v>3.2872900366783142E-2</v>
      </c>
      <c r="R21" s="183">
        <v>5.0773467868566513E-2</v>
      </c>
      <c r="S21" s="183">
        <v>4.1912887245416641E-2</v>
      </c>
      <c r="T21" s="183">
        <v>3.7115205079317093E-2</v>
      </c>
      <c r="U21" s="184">
        <v>4.2667560279369354E-2</v>
      </c>
      <c r="V21" s="184"/>
      <c r="W21" s="184">
        <v>0.67110228538513184</v>
      </c>
      <c r="X21" s="184"/>
      <c r="Y21" s="184">
        <v>0.4904572069644928</v>
      </c>
      <c r="Z21" s="184">
        <v>0.56958508491516113</v>
      </c>
      <c r="AA21" s="182"/>
      <c r="AB21" s="182"/>
      <c r="AC21" s="182"/>
      <c r="AD21" s="182"/>
      <c r="AE21" s="182"/>
    </row>
    <row r="22" spans="1:31">
      <c r="B22" s="182"/>
      <c r="C22" s="182"/>
      <c r="D22" s="182"/>
      <c r="E22" s="182"/>
      <c r="F22" s="182"/>
      <c r="G22" s="182"/>
      <c r="H22" s="182"/>
      <c r="I22" s="182"/>
      <c r="J22" s="182"/>
      <c r="K22" s="182"/>
      <c r="L22" s="182"/>
      <c r="M22" s="182"/>
      <c r="N22" s="182"/>
      <c r="O22" s="182"/>
      <c r="P22" s="185"/>
      <c r="Q22" s="185"/>
      <c r="R22" s="185"/>
      <c r="S22" s="185"/>
      <c r="T22" s="185"/>
      <c r="U22" s="186"/>
      <c r="V22" s="186"/>
      <c r="W22" s="186"/>
      <c r="X22" s="186"/>
      <c r="Y22" s="186"/>
      <c r="Z22" s="186"/>
      <c r="AA22" s="182"/>
      <c r="AB22" s="182"/>
      <c r="AC22" s="182"/>
      <c r="AD22" s="182"/>
      <c r="AE22" s="182"/>
    </row>
    <row r="24" spans="1:31">
      <c r="A24" s="178"/>
      <c r="B24" s="178" t="s">
        <v>34</v>
      </c>
      <c r="C24" s="178"/>
      <c r="D24" s="178"/>
      <c r="E24" s="178"/>
      <c r="F24" s="178"/>
      <c r="G24" s="178"/>
      <c r="H24" s="178"/>
    </row>
    <row r="25" spans="1:31">
      <c r="A25" s="178"/>
      <c r="B25" s="178" t="str">
        <f>B4</f>
        <v>Albania</v>
      </c>
      <c r="C25" s="178" t="str">
        <f>C4</f>
        <v>Bosnia and Herzegovina</v>
      </c>
      <c r="D25" s="178" t="str">
        <f>D4</f>
        <v>Montenegro</v>
      </c>
      <c r="E25" s="178" t="str">
        <f>E4</f>
        <v>North Macedonia</v>
      </c>
      <c r="F25" s="178" t="str">
        <f>F4</f>
        <v>Serbia</v>
      </c>
      <c r="G25" s="178"/>
      <c r="H25" s="178" t="s">
        <v>35</v>
      </c>
    </row>
    <row r="26" spans="1:31">
      <c r="A26" s="178">
        <f>A5</f>
        <v>2000</v>
      </c>
      <c r="B26" s="183">
        <f>Data!G5/Data!B5</f>
        <v>7.5241259367801137</v>
      </c>
      <c r="C26" s="183">
        <f>Data!H5/Data!C5</f>
        <v>2.4732027656781712</v>
      </c>
      <c r="D26" s="183">
        <f>Data!I5/Data!D5</f>
        <v>4.4101880347681899</v>
      </c>
      <c r="E26" s="183">
        <f>Data!J5/Data!E5</f>
        <v>6.8836409223109527</v>
      </c>
      <c r="F26" s="183">
        <f>Data!K5/Data!F5</f>
        <v>8.1287051530609844</v>
      </c>
      <c r="G26" s="178"/>
      <c r="H26" s="183">
        <f>AVERAGE(B26:F26)</f>
        <v>5.8839725625196824</v>
      </c>
    </row>
    <row r="27" spans="1:31">
      <c r="A27" s="178">
        <f t="shared" ref="A27:A42" si="0">A6</f>
        <v>2001</v>
      </c>
      <c r="B27" s="183">
        <f>Data!G6/Data!B6</f>
        <v>7.3685496009655997</v>
      </c>
      <c r="C27" s="183">
        <f>Data!H6/Data!C6</f>
        <v>2.6000914907265438</v>
      </c>
      <c r="D27" s="183">
        <f>Data!I6/Data!D6</f>
        <v>4.0352733333219968</v>
      </c>
      <c r="E27" s="183">
        <f>Data!J6/Data!E6</f>
        <v>6.6874777823597844</v>
      </c>
      <c r="F27" s="183">
        <f>Data!K6/Data!F6</f>
        <v>8.5542768866492516</v>
      </c>
      <c r="G27" s="178"/>
      <c r="H27" s="183">
        <f t="shared" ref="H27:H42" si="1">AVERAGE(B27:F27)</f>
        <v>5.8491338188046358</v>
      </c>
    </row>
    <row r="28" spans="1:31">
      <c r="A28" s="178">
        <f t="shared" si="0"/>
        <v>2002</v>
      </c>
      <c r="B28" s="183">
        <f>Data!G7/Data!B7</f>
        <v>7.3231609230979586</v>
      </c>
      <c r="C28" s="183">
        <f>Data!H7/Data!C7</f>
        <v>2.6984725404043246</v>
      </c>
      <c r="D28" s="183">
        <f>Data!I7/Data!D7</f>
        <v>4.1901668121864706</v>
      </c>
      <c r="E28" s="183">
        <f>Data!J7/Data!E7</f>
        <v>6.7652593114247734</v>
      </c>
      <c r="F28" s="183">
        <f>Data!K7/Data!F7</f>
        <v>7.8907364330551246</v>
      </c>
      <c r="G28" s="178"/>
      <c r="H28" s="183">
        <f t="shared" si="1"/>
        <v>5.77355920403373</v>
      </c>
    </row>
    <row r="29" spans="1:31">
      <c r="A29" s="178">
        <f t="shared" si="0"/>
        <v>2003</v>
      </c>
      <c r="B29" s="183">
        <f>Data!G8/Data!B8</f>
        <v>7.0784247864604906</v>
      </c>
      <c r="C29" s="183">
        <f>Data!H8/Data!C8</f>
        <v>2.8360244385734905</v>
      </c>
      <c r="D29" s="183">
        <f>Data!I8/Data!D8</f>
        <v>4.1959333502140908</v>
      </c>
      <c r="E29" s="183">
        <f>Data!J8/Data!E8</f>
        <v>6.6203698369943478</v>
      </c>
      <c r="F29" s="183">
        <f>Data!K8/Data!F8</f>
        <v>7.3400649475622446</v>
      </c>
      <c r="G29" s="178"/>
      <c r="H29" s="183">
        <f>AVERAGE(B29:F29)</f>
        <v>5.6141634719609321</v>
      </c>
    </row>
    <row r="30" spans="1:31">
      <c r="A30" s="178">
        <f t="shared" si="0"/>
        <v>2004</v>
      </c>
      <c r="B30" s="183">
        <f>Data!G9/Data!B9</f>
        <v>6.8837173996520828</v>
      </c>
      <c r="C30" s="183">
        <f>Data!H9/Data!C9</f>
        <v>2.8240163022541611</v>
      </c>
      <c r="D30" s="183">
        <f>Data!I9/Data!D9</f>
        <v>4.0484393903110334</v>
      </c>
      <c r="E30" s="183">
        <f>Data!J9/Data!E9</f>
        <v>6.4124181083466727</v>
      </c>
      <c r="F30" s="183">
        <f>Data!K9/Data!F9</f>
        <v>7.2051414851668634</v>
      </c>
      <c r="G30" s="178"/>
      <c r="H30" s="183">
        <f t="shared" si="1"/>
        <v>5.4747465371461628</v>
      </c>
    </row>
    <row r="31" spans="1:31">
      <c r="A31" s="178">
        <f t="shared" si="0"/>
        <v>2005</v>
      </c>
      <c r="B31" s="183">
        <f>Data!G10/Data!B10</f>
        <v>6.769501245035503</v>
      </c>
      <c r="C31" s="183">
        <f>Data!H10/Data!C10</f>
        <v>2.8757771847401838</v>
      </c>
      <c r="D31" s="183">
        <f>Data!I10/Data!D10</f>
        <v>3.8670426461818446</v>
      </c>
      <c r="E31" s="183">
        <f>Data!J10/Data!E10</f>
        <v>6.0200169605799161</v>
      </c>
      <c r="F31" s="183">
        <f>Data!K10/Data!F10</f>
        <v>6.6379863086335078</v>
      </c>
      <c r="G31" s="178"/>
      <c r="H31" s="183">
        <f t="shared" si="1"/>
        <v>5.2340648690341904</v>
      </c>
    </row>
    <row r="32" spans="1:31">
      <c r="A32" s="178">
        <f t="shared" si="0"/>
        <v>2006</v>
      </c>
      <c r="B32" s="183">
        <f>Data!G11/Data!B11</f>
        <v>6.4771724665681285</v>
      </c>
      <c r="C32" s="183">
        <f>Data!H11/Data!C11</f>
        <v>2.703882940896309</v>
      </c>
      <c r="D32" s="183">
        <f>Data!I11/Data!D11</f>
        <v>3.4339654884715021</v>
      </c>
      <c r="E32" s="183">
        <f>Data!J11/Data!E11</f>
        <v>5.6705319317285108</v>
      </c>
      <c r="F32" s="183">
        <f>Data!K11/Data!F11</f>
        <v>5.7891131649151166</v>
      </c>
      <c r="G32" s="178"/>
      <c r="H32" s="183">
        <f t="shared" si="1"/>
        <v>4.8149331985159138</v>
      </c>
    </row>
    <row r="33" spans="1:15">
      <c r="A33" s="178">
        <f t="shared" si="0"/>
        <v>2007</v>
      </c>
      <c r="B33" s="183">
        <f>Data!G12/Data!B12</f>
        <v>6.216744158122717</v>
      </c>
      <c r="C33" s="183">
        <f>Data!H12/Data!C12</f>
        <v>2.6856994790647488</v>
      </c>
      <c r="D33" s="183">
        <f>Data!I12/Data!D12</f>
        <v>3.0370197210594538</v>
      </c>
      <c r="E33" s="183">
        <f>Data!J12/Data!E12</f>
        <v>5.3982861582171004</v>
      </c>
      <c r="F33" s="183">
        <f>Data!K12/Data!F12</f>
        <v>5.602800483716341</v>
      </c>
      <c r="G33" s="178"/>
      <c r="H33" s="183">
        <f t="shared" si="1"/>
        <v>4.5881100000360719</v>
      </c>
    </row>
    <row r="34" spans="1:15">
      <c r="A34" s="178">
        <f t="shared" si="0"/>
        <v>2008</v>
      </c>
      <c r="B34" s="183">
        <f>Data!G13/Data!B13</f>
        <v>5.9194413006259383</v>
      </c>
      <c r="C34" s="183">
        <f>Data!H13/Data!C13</f>
        <v>2.7346890660550884</v>
      </c>
      <c r="D34" s="183">
        <f>Data!I13/Data!D13</f>
        <v>3.1308674734336503</v>
      </c>
      <c r="E34" s="183">
        <f>Data!J13/Data!E13</f>
        <v>5.1090246581529808</v>
      </c>
      <c r="F34" s="183">
        <f>Data!K13/Data!F13</f>
        <v>5.1884125865336399</v>
      </c>
      <c r="G34" s="178"/>
      <c r="H34" s="183">
        <f t="shared" si="1"/>
        <v>4.4164870169602599</v>
      </c>
    </row>
    <row r="35" spans="1:15">
      <c r="A35" s="178">
        <f t="shared" si="0"/>
        <v>2010</v>
      </c>
      <c r="B35" s="183">
        <f>Data!G14/Data!B14</f>
        <v>5.3998717735534179</v>
      </c>
      <c r="C35" s="183">
        <f>Data!H14/Data!C14</f>
        <v>2.8922001963495205</v>
      </c>
      <c r="D35" s="183">
        <f>Data!I14/Data!D14</f>
        <v>3.1897626704970423</v>
      </c>
      <c r="E35" s="183">
        <f>Data!J14/Data!E14</f>
        <v>4.8838009343842561</v>
      </c>
      <c r="F35" s="183">
        <f>Data!K14/Data!F14</f>
        <v>5.2134383311001162</v>
      </c>
      <c r="G35" s="178"/>
      <c r="H35" s="183">
        <f t="shared" si="1"/>
        <v>4.3158147811768703</v>
      </c>
    </row>
    <row r="36" spans="1:15">
      <c r="A36" s="178">
        <f t="shared" si="0"/>
        <v>2011</v>
      </c>
      <c r="B36" s="183">
        <f>Data!G15/Data!B15</f>
        <v>5.390377139389547</v>
      </c>
      <c r="C36" s="183">
        <f>Data!H15/Data!C15</f>
        <v>2.9235517029357285</v>
      </c>
      <c r="D36" s="183">
        <f>Data!I15/Data!D15</f>
        <v>3.1613934035301821</v>
      </c>
      <c r="E36" s="183">
        <f>Data!J15/Data!E15</f>
        <v>4.9450625030436752</v>
      </c>
      <c r="F36" s="183">
        <f>Data!K15/Data!F15</f>
        <v>5.0079988168077172</v>
      </c>
      <c r="G36" s="178"/>
      <c r="H36" s="183">
        <f t="shared" si="1"/>
        <v>4.2856767131413696</v>
      </c>
    </row>
    <row r="37" spans="1:15">
      <c r="A37" s="178">
        <f t="shared" si="0"/>
        <v>2012</v>
      </c>
      <c r="B37" s="183">
        <f>Data!G16/Data!B16</f>
        <v>5.3571147360562907</v>
      </c>
      <c r="C37" s="183">
        <f>Data!H16/Data!C16</f>
        <v>3.0104747863145578</v>
      </c>
      <c r="D37" s="183">
        <f>Data!I16/Data!D16</f>
        <v>3.449219644743994</v>
      </c>
      <c r="E37" s="183">
        <f>Data!J16/Data!E16</f>
        <v>5.0560198318001692</v>
      </c>
      <c r="F37" s="183">
        <f>Data!K16/Data!F16</f>
        <v>5.0513807056032114</v>
      </c>
      <c r="G37" s="178"/>
      <c r="H37" s="183">
        <f t="shared" si="1"/>
        <v>4.3848419409036445</v>
      </c>
    </row>
    <row r="38" spans="1:15">
      <c r="A38" s="178">
        <f t="shared" si="0"/>
        <v>2013</v>
      </c>
      <c r="B38" s="183">
        <f>Data!G17/Data!B17</f>
        <v>5.5747044898589788</v>
      </c>
      <c r="C38" s="183">
        <f>Data!H17/Data!C17</f>
        <v>3.0179604085984937</v>
      </c>
      <c r="D38" s="183">
        <f>Data!I17/Data!D17</f>
        <v>3.3926475526451987</v>
      </c>
      <c r="E38" s="183">
        <f>Data!J17/Data!E17</f>
        <v>4.9535742130733489</v>
      </c>
      <c r="F38" s="183">
        <f>Data!K17/Data!F17</f>
        <v>4.934815101794638</v>
      </c>
      <c r="G38" s="178"/>
      <c r="H38" s="183">
        <f t="shared" si="1"/>
        <v>4.3747403531941318</v>
      </c>
    </row>
    <row r="39" spans="1:15">
      <c r="A39" s="178">
        <f t="shared" si="0"/>
        <v>2014</v>
      </c>
      <c r="B39" s="183">
        <f>Data!G18/Data!B18</f>
        <v>5.4125344698969888</v>
      </c>
      <c r="C39" s="183">
        <f>Data!H18/Data!C18</f>
        <v>3.1376861105848595</v>
      </c>
      <c r="D39" s="183">
        <f>Data!I18/Data!D18</f>
        <v>3.4199834434101333</v>
      </c>
      <c r="E39" s="183">
        <f>Data!J18/Data!E18</f>
        <v>4.9002048984765878</v>
      </c>
      <c r="F39" s="183">
        <f>Data!K18/Data!F18</f>
        <v>5.0728173826977834</v>
      </c>
      <c r="G39" s="178"/>
      <c r="H39" s="183">
        <f t="shared" si="1"/>
        <v>4.3886452610132709</v>
      </c>
    </row>
    <row r="40" spans="1:15">
      <c r="A40" s="178">
        <f t="shared" si="0"/>
        <v>2015</v>
      </c>
      <c r="B40" s="183">
        <f>Data!G19/Data!B19</f>
        <v>5.22179728531846</v>
      </c>
      <c r="C40" s="183">
        <f>Data!H19/Data!C19</f>
        <v>3.0763212542037159</v>
      </c>
      <c r="D40" s="183">
        <f>Data!I19/Data!D19</f>
        <v>3.3051014450675513</v>
      </c>
      <c r="E40" s="183">
        <f>Data!J19/Data!E19</f>
        <v>4.7826267381694443</v>
      </c>
      <c r="F40" s="183">
        <f>Data!K19/Data!F19</f>
        <v>4.8821324747334645</v>
      </c>
      <c r="G40" s="178"/>
      <c r="H40" s="183">
        <f t="shared" si="1"/>
        <v>4.2535958394985265</v>
      </c>
    </row>
    <row r="41" spans="1:15">
      <c r="A41" s="178">
        <f t="shared" si="0"/>
        <v>2016</v>
      </c>
      <c r="B41" s="183">
        <f>Data!G20/Data!B20</f>
        <v>5.2856570524410573</v>
      </c>
      <c r="C41" s="183">
        <f>Data!H20/Data!C20</f>
        <v>3.0392580173513353</v>
      </c>
      <c r="D41" s="183">
        <f>Data!I20/Data!D20</f>
        <v>3.1883242192256369</v>
      </c>
      <c r="E41" s="183">
        <f>Data!J20/Data!E20</f>
        <v>4.6805797100661355</v>
      </c>
      <c r="F41" s="183">
        <f>Data!K20/Data!F20</f>
        <v>4.7335005847923366</v>
      </c>
      <c r="G41" s="178"/>
      <c r="H41" s="183">
        <f t="shared" si="1"/>
        <v>4.1854639167753005</v>
      </c>
    </row>
    <row r="42" spans="1:15">
      <c r="A42" s="178">
        <f t="shared" si="0"/>
        <v>2017</v>
      </c>
      <c r="B42" s="183">
        <f>Data!G21/Data!B21</f>
        <v>5.0329681818629943</v>
      </c>
      <c r="C42" s="183">
        <f>Data!H21/Data!C21</f>
        <v>2.9818215572896252</v>
      </c>
      <c r="D42" s="183">
        <f>Data!I21/Data!D21</f>
        <v>3.1933304655779255</v>
      </c>
      <c r="E42" s="183">
        <f>Data!J21/Data!E21</f>
        <v>4.8097655951131895</v>
      </c>
      <c r="F42" s="183">
        <f>Data!K21/Data!F21</f>
        <v>4.6587166866632428</v>
      </c>
      <c r="G42" s="178"/>
      <c r="H42" s="183">
        <f t="shared" si="1"/>
        <v>4.1353204973013948</v>
      </c>
    </row>
    <row r="45" spans="1:15">
      <c r="A45" s="280" t="s">
        <v>43</v>
      </c>
      <c r="B45" s="280"/>
      <c r="C45" s="280"/>
      <c r="D45" s="280"/>
      <c r="E45" s="280"/>
      <c r="F45" s="280"/>
      <c r="G45" s="13"/>
      <c r="H45" s="13"/>
      <c r="I45" s="13"/>
      <c r="J45" s="13"/>
      <c r="K45" s="281" t="s">
        <v>43</v>
      </c>
      <c r="L45" s="282"/>
      <c r="M45" s="282"/>
      <c r="N45" s="282"/>
      <c r="O45" s="283"/>
    </row>
    <row r="46" spans="1:15">
      <c r="A46" s="187" t="s">
        <v>44</v>
      </c>
      <c r="B46" s="187" t="s">
        <v>45</v>
      </c>
      <c r="C46" s="187" t="s">
        <v>46</v>
      </c>
      <c r="D46" s="187" t="s">
        <v>47</v>
      </c>
      <c r="E46" s="187" t="s">
        <v>48</v>
      </c>
      <c r="F46" s="187" t="s">
        <v>49</v>
      </c>
      <c r="G46" s="13"/>
      <c r="H46" s="72"/>
      <c r="I46" s="13"/>
      <c r="J46" s="13"/>
      <c r="K46" s="187" t="s">
        <v>50</v>
      </c>
      <c r="L46" s="187" t="s">
        <v>51</v>
      </c>
      <c r="M46" s="187" t="s">
        <v>46</v>
      </c>
      <c r="N46" s="187" t="s">
        <v>47</v>
      </c>
      <c r="O46" s="187" t="s">
        <v>52</v>
      </c>
    </row>
    <row r="47" spans="1:15">
      <c r="A47" s="187">
        <v>2000</v>
      </c>
      <c r="B47" s="93">
        <v>0</v>
      </c>
      <c r="C47" s="93">
        <v>54403</v>
      </c>
      <c r="D47" s="93">
        <v>54044</v>
      </c>
      <c r="E47" s="93">
        <v>0</v>
      </c>
      <c r="F47" s="93">
        <v>0</v>
      </c>
      <c r="G47" s="13"/>
      <c r="H47" s="72"/>
      <c r="I47" s="13"/>
      <c r="J47" s="13"/>
      <c r="K47" s="187">
        <v>2000</v>
      </c>
      <c r="L47" s="188">
        <v>0</v>
      </c>
      <c r="M47" s="188">
        <v>248646</v>
      </c>
      <c r="N47" s="188">
        <v>279794</v>
      </c>
      <c r="O47" s="189"/>
    </row>
    <row r="48" spans="1:15">
      <c r="A48" s="187">
        <v>2001</v>
      </c>
      <c r="B48" s="93">
        <v>51058</v>
      </c>
      <c r="C48" s="93">
        <v>43803</v>
      </c>
      <c r="D48" s="93">
        <v>50721</v>
      </c>
      <c r="E48" s="93">
        <v>1554420</v>
      </c>
      <c r="F48" s="93">
        <v>599308</v>
      </c>
      <c r="G48" s="13"/>
      <c r="H48" s="72"/>
      <c r="I48" s="13"/>
      <c r="J48" s="13"/>
      <c r="K48" s="187">
        <v>2001</v>
      </c>
      <c r="L48" s="188">
        <v>241020</v>
      </c>
      <c r="M48" s="188">
        <v>252393</v>
      </c>
      <c r="N48" s="188">
        <v>271212</v>
      </c>
      <c r="O48" s="189">
        <f t="shared" ref="O48:O67" si="2">N48/N47-1</f>
        <v>-3.0672566245166122E-2</v>
      </c>
    </row>
    <row r="49" spans="1:15">
      <c r="A49" s="187">
        <v>2002</v>
      </c>
      <c r="B49" s="93">
        <v>51695</v>
      </c>
      <c r="C49" s="93">
        <v>53862</v>
      </c>
      <c r="D49" s="93">
        <v>59859</v>
      </c>
      <c r="E49" s="93">
        <v>1566954</v>
      </c>
      <c r="F49" s="93">
        <v>561341</v>
      </c>
      <c r="G49" s="13"/>
      <c r="H49" s="72"/>
      <c r="I49" s="13"/>
      <c r="J49" s="13"/>
      <c r="K49" s="187">
        <v>2002</v>
      </c>
      <c r="L49" s="188">
        <v>256163</v>
      </c>
      <c r="M49" s="188">
        <v>258581</v>
      </c>
      <c r="N49" s="188">
        <v>275263</v>
      </c>
      <c r="O49" s="189">
        <f t="shared" si="2"/>
        <v>1.4936654720292708E-2</v>
      </c>
    </row>
    <row r="50" spans="1:15">
      <c r="A50" s="187">
        <v>2003</v>
      </c>
      <c r="B50" s="93">
        <v>51140</v>
      </c>
      <c r="C50" s="93">
        <v>48175</v>
      </c>
      <c r="D50" s="93">
        <v>56834</v>
      </c>
      <c r="E50" s="93">
        <v>1579450</v>
      </c>
      <c r="F50" s="93">
        <v>545108</v>
      </c>
      <c r="G50" s="13"/>
      <c r="H50" s="72"/>
      <c r="I50" s="13"/>
      <c r="J50" s="13"/>
      <c r="K50" s="187">
        <v>2003</v>
      </c>
      <c r="L50" s="188">
        <v>264328</v>
      </c>
      <c r="M50" s="188">
        <v>268694</v>
      </c>
      <c r="N50" s="188">
        <v>281381</v>
      </c>
      <c r="O50" s="189">
        <f t="shared" si="2"/>
        <v>2.2226016573240859E-2</v>
      </c>
    </row>
    <row r="51" spans="1:15">
      <c r="A51" s="187">
        <v>2004</v>
      </c>
      <c r="B51" s="93">
        <v>57160</v>
      </c>
      <c r="C51" s="93">
        <v>59093</v>
      </c>
      <c r="D51" s="93">
        <v>67434</v>
      </c>
      <c r="E51" s="93">
        <v>1594557</v>
      </c>
      <c r="F51" s="93">
        <v>522995</v>
      </c>
      <c r="G51" s="13"/>
      <c r="H51" s="72"/>
      <c r="I51" s="13"/>
      <c r="J51" s="13"/>
      <c r="K51" s="187">
        <v>2004</v>
      </c>
      <c r="L51" s="188">
        <v>281252</v>
      </c>
      <c r="M51" s="188">
        <v>280786</v>
      </c>
      <c r="N51" s="188">
        <v>294534</v>
      </c>
      <c r="O51" s="189">
        <f t="shared" si="2"/>
        <v>4.674444969631919E-2</v>
      </c>
    </row>
    <row r="52" spans="1:15">
      <c r="A52" s="187">
        <v>2005</v>
      </c>
      <c r="B52" s="93">
        <v>53641</v>
      </c>
      <c r="C52" s="93">
        <v>61212</v>
      </c>
      <c r="D52" s="93">
        <v>61212</v>
      </c>
      <c r="E52" s="93">
        <v>1607997</v>
      </c>
      <c r="F52" s="93">
        <v>545253</v>
      </c>
      <c r="G52" s="13"/>
      <c r="H52" s="72"/>
      <c r="I52" s="13"/>
      <c r="J52" s="13"/>
      <c r="K52" s="187">
        <v>2005</v>
      </c>
      <c r="L52" s="188">
        <v>294049</v>
      </c>
      <c r="M52" s="188">
        <v>308447</v>
      </c>
      <c r="N52" s="188">
        <v>308447</v>
      </c>
      <c r="O52" s="189">
        <f t="shared" si="2"/>
        <v>4.7237330834470681E-2</v>
      </c>
    </row>
    <row r="53" spans="1:15">
      <c r="A53" s="187">
        <v>2006</v>
      </c>
      <c r="B53" s="93">
        <v>67019</v>
      </c>
      <c r="C53" s="93">
        <v>71683</v>
      </c>
      <c r="D53" s="93">
        <v>67019</v>
      </c>
      <c r="E53" s="93">
        <v>1618482</v>
      </c>
      <c r="F53" s="93">
        <v>570404</v>
      </c>
      <c r="G53" s="13"/>
      <c r="H53" s="72"/>
      <c r="I53" s="13"/>
      <c r="J53" s="13"/>
      <c r="K53" s="187">
        <v>2006</v>
      </c>
      <c r="L53" s="188">
        <v>324292</v>
      </c>
      <c r="M53" s="188">
        <v>334840</v>
      </c>
      <c r="N53" s="188">
        <v>324292</v>
      </c>
      <c r="O53" s="189">
        <f t="shared" si="2"/>
        <v>5.1370251615350471E-2</v>
      </c>
    </row>
    <row r="54" spans="1:15">
      <c r="A54" s="187">
        <v>2007</v>
      </c>
      <c r="B54" s="93">
        <v>81161</v>
      </c>
      <c r="C54" s="93">
        <v>88421</v>
      </c>
      <c r="D54" s="93">
        <v>75881</v>
      </c>
      <c r="E54" s="93">
        <v>1628635</v>
      </c>
      <c r="F54" s="93">
        <v>590234</v>
      </c>
      <c r="G54" s="13"/>
      <c r="H54" s="72"/>
      <c r="I54" s="13"/>
      <c r="J54" s="13"/>
      <c r="K54" s="187">
        <v>2007</v>
      </c>
      <c r="L54" s="188">
        <v>356516</v>
      </c>
      <c r="M54" s="188">
        <v>372889</v>
      </c>
      <c r="N54" s="188">
        <v>345285</v>
      </c>
      <c r="O54" s="189">
        <f t="shared" si="2"/>
        <v>6.4734868575234694E-2</v>
      </c>
    </row>
    <row r="55" spans="1:15">
      <c r="A55" s="187">
        <v>2008</v>
      </c>
      <c r="B55" s="93">
        <v>108170</v>
      </c>
      <c r="C55" s="93">
        <v>115890</v>
      </c>
      <c r="D55" s="93">
        <v>92829</v>
      </c>
      <c r="E55" s="93">
        <v>1633341</v>
      </c>
      <c r="F55" s="93">
        <v>609015</v>
      </c>
      <c r="G55" s="13"/>
      <c r="H55" s="72"/>
      <c r="I55" s="13"/>
      <c r="J55" s="13"/>
      <c r="K55" s="187">
        <v>2008</v>
      </c>
      <c r="L55" s="188">
        <v>393293</v>
      </c>
      <c r="M55" s="188">
        <v>414890</v>
      </c>
      <c r="N55" s="188">
        <v>364179</v>
      </c>
      <c r="O55" s="189">
        <f t="shared" si="2"/>
        <v>5.4720013901559561E-2</v>
      </c>
    </row>
    <row r="56" spans="1:15">
      <c r="A56" s="187">
        <v>2009</v>
      </c>
      <c r="B56" s="93">
        <v>115204</v>
      </c>
      <c r="C56" s="93">
        <v>106734</v>
      </c>
      <c r="D56" s="93">
        <v>92279</v>
      </c>
      <c r="E56" s="93">
        <v>1638869</v>
      </c>
      <c r="F56" s="93">
        <v>629901</v>
      </c>
      <c r="G56" s="13"/>
      <c r="H56" s="72"/>
      <c r="I56" s="13"/>
      <c r="J56" s="13"/>
      <c r="K56" s="187">
        <v>2009</v>
      </c>
      <c r="L56" s="188">
        <v>413402</v>
      </c>
      <c r="M56" s="188">
        <v>414622</v>
      </c>
      <c r="N56" s="188">
        <v>362873</v>
      </c>
      <c r="O56" s="189">
        <f t="shared" si="2"/>
        <v>-3.5861485697966655E-3</v>
      </c>
    </row>
    <row r="57" spans="1:15">
      <c r="A57" s="187">
        <v>2010</v>
      </c>
      <c r="B57" s="93">
        <v>102672</v>
      </c>
      <c r="C57" s="93">
        <v>106999</v>
      </c>
      <c r="D57" s="93">
        <v>88768</v>
      </c>
      <c r="E57" s="93">
        <v>1648522</v>
      </c>
      <c r="F57" s="93">
        <v>637855</v>
      </c>
      <c r="G57" s="13"/>
      <c r="H57" s="72"/>
      <c r="I57" s="13"/>
      <c r="J57" s="13"/>
      <c r="K57" s="187">
        <v>2010</v>
      </c>
      <c r="L57" s="188">
        <v>428548</v>
      </c>
      <c r="M57" s="188">
        <v>437296</v>
      </c>
      <c r="N57" s="188">
        <v>375061</v>
      </c>
      <c r="O57" s="189">
        <f t="shared" si="2"/>
        <v>3.3587508577381131E-2</v>
      </c>
    </row>
    <row r="58" spans="1:15">
      <c r="A58" s="187">
        <v>2011</v>
      </c>
      <c r="B58" s="93">
        <v>126181</v>
      </c>
      <c r="C58" s="93">
        <v>124926</v>
      </c>
      <c r="D58" s="93">
        <v>104682</v>
      </c>
      <c r="E58" s="93">
        <v>1656215</v>
      </c>
      <c r="F58" s="93">
        <v>645085</v>
      </c>
      <c r="G58" s="13"/>
      <c r="H58" s="72"/>
      <c r="I58" s="13"/>
      <c r="J58" s="13"/>
      <c r="K58" s="187">
        <v>2011</v>
      </c>
      <c r="L58" s="188">
        <v>447528</v>
      </c>
      <c r="M58" s="188">
        <v>464186</v>
      </c>
      <c r="N58" s="188">
        <v>383837</v>
      </c>
      <c r="O58" s="189">
        <f t="shared" si="2"/>
        <v>2.339886045203321E-2</v>
      </c>
    </row>
    <row r="59" spans="1:15">
      <c r="A59" s="187">
        <v>2012</v>
      </c>
      <c r="B59" s="93">
        <v>137646</v>
      </c>
      <c r="C59" s="93">
        <v>135003</v>
      </c>
      <c r="D59" s="93">
        <v>115340</v>
      </c>
      <c r="E59" s="93">
        <v>1669965</v>
      </c>
      <c r="F59" s="93">
        <v>650554</v>
      </c>
      <c r="G59" s="13"/>
      <c r="H59" s="72"/>
      <c r="I59" s="13"/>
      <c r="J59" s="13"/>
      <c r="K59" s="187">
        <v>2012</v>
      </c>
      <c r="L59" s="188">
        <v>462070</v>
      </c>
      <c r="M59" s="188">
        <v>466703</v>
      </c>
      <c r="N59" s="188">
        <v>382087</v>
      </c>
      <c r="O59" s="189">
        <f t="shared" si="2"/>
        <v>-4.5592269635288396E-3</v>
      </c>
    </row>
    <row r="60" spans="1:15">
      <c r="A60" s="187">
        <v>2013</v>
      </c>
      <c r="B60" s="93">
        <v>135669</v>
      </c>
      <c r="C60" s="93">
        <v>144584</v>
      </c>
      <c r="D60" s="93">
        <v>115909</v>
      </c>
      <c r="E60" s="93">
        <v>1672460</v>
      </c>
      <c r="F60" s="93">
        <v>678838</v>
      </c>
      <c r="G60" s="13"/>
      <c r="H60" s="72"/>
      <c r="I60" s="13"/>
      <c r="J60" s="13"/>
      <c r="K60" s="187">
        <v>2013</v>
      </c>
      <c r="L60" s="188">
        <v>480353</v>
      </c>
      <c r="M60" s="188">
        <v>501891</v>
      </c>
      <c r="N60" s="188">
        <v>393262</v>
      </c>
      <c r="O60" s="189">
        <f t="shared" si="2"/>
        <v>2.9247265675094836E-2</v>
      </c>
    </row>
    <row r="61" spans="1:15">
      <c r="A61" s="187">
        <v>2014</v>
      </c>
      <c r="B61" s="93">
        <v>160016</v>
      </c>
      <c r="C61" s="93">
        <v>159847</v>
      </c>
      <c r="D61" s="93">
        <v>128280</v>
      </c>
      <c r="E61" s="93">
        <v>1673494</v>
      </c>
      <c r="F61" s="93">
        <v>690188</v>
      </c>
      <c r="G61" s="13"/>
      <c r="H61" s="72"/>
      <c r="I61" s="13"/>
      <c r="J61" s="13"/>
      <c r="K61" s="187">
        <v>2014</v>
      </c>
      <c r="L61" s="188">
        <v>520108</v>
      </c>
      <c r="M61" s="188">
        <v>527631</v>
      </c>
      <c r="N61" s="188">
        <v>407536</v>
      </c>
      <c r="O61" s="189">
        <f t="shared" si="2"/>
        <v>3.6296413078304113E-2</v>
      </c>
    </row>
    <row r="62" spans="1:15">
      <c r="A62" s="187">
        <v>2015</v>
      </c>
      <c r="B62" s="93">
        <v>173067</v>
      </c>
      <c r="C62" s="93">
        <v>169942</v>
      </c>
      <c r="D62" s="93">
        <v>138890</v>
      </c>
      <c r="E62" s="93">
        <v>1676659</v>
      </c>
      <c r="F62" s="93">
        <v>705991</v>
      </c>
      <c r="G62" s="13"/>
      <c r="H62" s="72"/>
      <c r="I62" s="13"/>
      <c r="J62" s="13"/>
      <c r="K62" s="187">
        <v>2015</v>
      </c>
      <c r="L62" s="188">
        <v>547975</v>
      </c>
      <c r="M62" s="188">
        <v>558954</v>
      </c>
      <c r="N62" s="188">
        <v>423249</v>
      </c>
      <c r="O62" s="189">
        <f t="shared" si="2"/>
        <v>3.8556103019119714E-2</v>
      </c>
    </row>
    <row r="63" spans="1:15">
      <c r="A63" s="187">
        <v>2016</v>
      </c>
      <c r="B63" s="93">
        <v>191237</v>
      </c>
      <c r="C63" s="93">
        <v>193366</v>
      </c>
      <c r="D63" s="93">
        <v>156294</v>
      </c>
      <c r="E63" s="93">
        <v>1678890</v>
      </c>
      <c r="F63" s="93">
        <v>723550</v>
      </c>
      <c r="G63" s="13"/>
      <c r="H63" s="72"/>
      <c r="I63" s="13"/>
      <c r="J63" s="13"/>
      <c r="K63" s="187">
        <v>2016</v>
      </c>
      <c r="L63" s="188">
        <v>574875</v>
      </c>
      <c r="M63" s="188">
        <v>594795</v>
      </c>
      <c r="N63" s="188">
        <v>435305</v>
      </c>
      <c r="O63" s="189">
        <f t="shared" si="2"/>
        <v>2.8484414611729791E-2</v>
      </c>
    </row>
    <row r="64" spans="1:15">
      <c r="A64" s="187">
        <v>2017</v>
      </c>
      <c r="B64" s="93">
        <v>189104</v>
      </c>
      <c r="C64" s="93">
        <v>199481</v>
      </c>
      <c r="D64" s="93">
        <v>152849</v>
      </c>
      <c r="E64" s="93">
        <v>1679935</v>
      </c>
      <c r="F64" s="93">
        <v>740648</v>
      </c>
      <c r="G64" s="13"/>
      <c r="H64" s="72"/>
      <c r="I64" s="13"/>
      <c r="J64" s="13"/>
      <c r="K64" s="187">
        <v>2017</v>
      </c>
      <c r="L64" s="188">
        <v>601229</v>
      </c>
      <c r="M64" s="188">
        <v>618106</v>
      </c>
      <c r="N64" s="188">
        <v>440014</v>
      </c>
      <c r="O64" s="189">
        <f t="shared" si="2"/>
        <v>1.0817702530409701E-2</v>
      </c>
    </row>
    <row r="65" spans="1:16">
      <c r="A65" s="187">
        <v>2018</v>
      </c>
      <c r="B65" s="93">
        <v>202818</v>
      </c>
      <c r="C65" s="93">
        <v>213654</v>
      </c>
      <c r="D65" s="93">
        <v>155406</v>
      </c>
      <c r="E65" s="93">
        <v>1682702</v>
      </c>
      <c r="F65" s="93">
        <v>759054</v>
      </c>
      <c r="G65" s="13"/>
      <c r="H65" s="72"/>
      <c r="I65" s="13"/>
      <c r="J65" s="13"/>
      <c r="K65" s="187">
        <v>2018</v>
      </c>
      <c r="L65" s="188">
        <v>635911</v>
      </c>
      <c r="M65" s="188">
        <v>660878</v>
      </c>
      <c r="N65" s="188">
        <v>452688</v>
      </c>
      <c r="O65" s="189">
        <f t="shared" si="2"/>
        <v>2.8803628975441642E-2</v>
      </c>
    </row>
    <row r="66" spans="1:16">
      <c r="A66" s="187">
        <v>2019</v>
      </c>
      <c r="B66" s="93">
        <v>233978</v>
      </c>
      <c r="C66" s="93">
        <v>237314</v>
      </c>
      <c r="D66" s="93">
        <v>170189</v>
      </c>
      <c r="E66" s="93">
        <v>1684820</v>
      </c>
      <c r="F66" s="93">
        <v>797651</v>
      </c>
      <c r="G66" s="13"/>
      <c r="H66" s="72"/>
      <c r="I66" s="13"/>
      <c r="J66" s="13"/>
      <c r="K66" s="187">
        <v>2019</v>
      </c>
      <c r="L66" s="188">
        <v>686721</v>
      </c>
      <c r="M66" s="188">
        <v>692683</v>
      </c>
      <c r="N66" s="188">
        <v>470389</v>
      </c>
      <c r="O66" s="189">
        <f t="shared" si="2"/>
        <v>3.9101986357049423E-2</v>
      </c>
    </row>
    <row r="67" spans="1:16">
      <c r="A67" s="187">
        <v>2020</v>
      </c>
      <c r="B67" s="93">
        <v>201460</v>
      </c>
      <c r="C67" s="93">
        <v>200232</v>
      </c>
      <c r="D67" s="93">
        <v>143404</v>
      </c>
      <c r="E67" s="93">
        <v>1685589</v>
      </c>
      <c r="F67" s="93">
        <v>794909</v>
      </c>
      <c r="G67" s="13"/>
      <c r="H67" s="72"/>
      <c r="I67" s="13"/>
      <c r="J67" s="13"/>
      <c r="K67" s="187">
        <v>2020</v>
      </c>
      <c r="L67" s="188">
        <v>660208</v>
      </c>
      <c r="M67" s="188">
        <v>669280</v>
      </c>
      <c r="N67" s="188">
        <v>448337</v>
      </c>
      <c r="O67" s="189">
        <f t="shared" si="2"/>
        <v>-4.6880347967320657E-2</v>
      </c>
    </row>
    <row r="68" spans="1:16">
      <c r="A68" s="187">
        <v>2021</v>
      </c>
      <c r="B68" s="93">
        <v>0</v>
      </c>
      <c r="C68" s="93">
        <v>0</v>
      </c>
      <c r="D68" s="93">
        <v>0</v>
      </c>
      <c r="E68" s="93">
        <v>1682800</v>
      </c>
      <c r="F68" s="93">
        <v>795087</v>
      </c>
      <c r="G68" s="13"/>
      <c r="H68" s="72"/>
      <c r="I68" s="13"/>
      <c r="J68" s="13"/>
      <c r="K68" s="187">
        <v>2021</v>
      </c>
      <c r="L68" s="188"/>
      <c r="M68" s="188"/>
      <c r="N68" s="188"/>
      <c r="O68" s="189"/>
    </row>
    <row r="72" spans="1:16">
      <c r="A72" s="13"/>
      <c r="B72" s="190" t="s">
        <v>226</v>
      </c>
      <c r="C72" s="190" t="s">
        <v>227</v>
      </c>
      <c r="D72" s="190" t="s">
        <v>228</v>
      </c>
      <c r="E72" s="190" t="s">
        <v>229</v>
      </c>
      <c r="F72" s="190" t="s">
        <v>230</v>
      </c>
      <c r="G72" s="190" t="s">
        <v>231</v>
      </c>
      <c r="H72" s="190" t="s">
        <v>232</v>
      </c>
      <c r="I72" s="190" t="s">
        <v>233</v>
      </c>
      <c r="J72" s="190" t="s">
        <v>234</v>
      </c>
      <c r="K72" s="190" t="s">
        <v>235</v>
      </c>
      <c r="L72" s="190" t="s">
        <v>236</v>
      </c>
      <c r="M72" s="190" t="s">
        <v>237</v>
      </c>
      <c r="N72" s="190" t="s">
        <v>238</v>
      </c>
      <c r="O72" s="190" t="s">
        <v>239</v>
      </c>
      <c r="P72" s="190" t="s">
        <v>240</v>
      </c>
    </row>
    <row r="73" spans="1:16">
      <c r="A73" s="13" t="s">
        <v>243</v>
      </c>
      <c r="B73" s="190" t="s">
        <v>241</v>
      </c>
      <c r="C73" s="190" t="s">
        <v>241</v>
      </c>
      <c r="D73" s="190" t="s">
        <v>241</v>
      </c>
      <c r="E73" s="190" t="s">
        <v>241</v>
      </c>
      <c r="F73" s="190" t="s">
        <v>241</v>
      </c>
      <c r="G73" s="190" t="s">
        <v>241</v>
      </c>
      <c r="H73" s="190" t="s">
        <v>241</v>
      </c>
      <c r="I73" s="190" t="s">
        <v>241</v>
      </c>
      <c r="J73" s="190" t="s">
        <v>241</v>
      </c>
      <c r="K73" s="190" t="s">
        <v>241</v>
      </c>
      <c r="L73" s="190" t="s">
        <v>241</v>
      </c>
      <c r="M73" s="190" t="s">
        <v>241</v>
      </c>
      <c r="N73" s="190" t="s">
        <v>241</v>
      </c>
      <c r="O73" s="190" t="s">
        <v>241</v>
      </c>
      <c r="P73" s="190" t="s">
        <v>241</v>
      </c>
    </row>
    <row r="74" spans="1:16">
      <c r="A74" s="190" t="s">
        <v>242</v>
      </c>
      <c r="B74" s="191">
        <v>2041941</v>
      </c>
      <c r="C74" s="191">
        <v>2045177</v>
      </c>
      <c r="D74" s="191">
        <v>2048619</v>
      </c>
      <c r="E74" s="191">
        <v>2052722</v>
      </c>
      <c r="F74" s="191">
        <v>2057284</v>
      </c>
      <c r="G74" s="191">
        <v>2059794</v>
      </c>
      <c r="H74" s="191">
        <v>2062294</v>
      </c>
      <c r="I74" s="191">
        <v>2065769</v>
      </c>
      <c r="J74" s="191">
        <v>2069172</v>
      </c>
      <c r="K74" s="191">
        <v>2071278</v>
      </c>
      <c r="L74" s="191">
        <v>2073702</v>
      </c>
      <c r="M74" s="191">
        <v>2075301</v>
      </c>
      <c r="N74" s="191">
        <v>2077132</v>
      </c>
      <c r="O74" s="191">
        <v>2076255</v>
      </c>
      <c r="P74" s="191">
        <v>2068808</v>
      </c>
    </row>
  </sheetData>
  <mergeCells count="2">
    <mergeCell ref="A45:F45"/>
    <mergeCell ref="K45:O4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20" workbookViewId="0">
      <selection activeCell="L48" sqref="L48"/>
    </sheetView>
  </sheetViews>
  <sheetFormatPr defaultRowHeight="14.4"/>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4"/>
  <sheetViews>
    <sheetView workbookViewId="0">
      <selection activeCell="K17" sqref="K17"/>
    </sheetView>
  </sheetViews>
  <sheetFormatPr defaultRowHeight="14.4"/>
  <cols>
    <col min="1" max="1" width="20.109375" bestFit="1" customWidth="1"/>
    <col min="2" max="25" width="8.88671875" customWidth="1"/>
  </cols>
  <sheetData>
    <row r="1" spans="1:27">
      <c r="B1">
        <v>2000</v>
      </c>
      <c r="C1">
        <v>2001</v>
      </c>
      <c r="D1">
        <v>2002</v>
      </c>
      <c r="E1">
        <v>2003</v>
      </c>
      <c r="F1">
        <v>2004</v>
      </c>
      <c r="G1">
        <v>2005</v>
      </c>
      <c r="H1">
        <v>2006</v>
      </c>
      <c r="I1">
        <v>2007</v>
      </c>
      <c r="J1">
        <v>2008</v>
      </c>
      <c r="K1">
        <v>2009</v>
      </c>
      <c r="L1">
        <v>2010</v>
      </c>
      <c r="M1">
        <v>2011</v>
      </c>
      <c r="N1">
        <v>2012</v>
      </c>
      <c r="O1">
        <v>2013</v>
      </c>
      <c r="P1">
        <v>2014</v>
      </c>
      <c r="Q1">
        <v>2015</v>
      </c>
      <c r="R1">
        <v>2016</v>
      </c>
      <c r="S1">
        <v>2017</v>
      </c>
      <c r="T1">
        <v>2018</v>
      </c>
      <c r="U1">
        <v>2019</v>
      </c>
      <c r="V1">
        <v>2020</v>
      </c>
      <c r="W1">
        <v>2021</v>
      </c>
      <c r="X1">
        <v>2022</v>
      </c>
      <c r="Y1">
        <v>2023</v>
      </c>
      <c r="Z1">
        <v>2024</v>
      </c>
      <c r="AA1">
        <v>2025</v>
      </c>
    </row>
    <row r="2" spans="1:27">
      <c r="A2" t="s">
        <v>2</v>
      </c>
      <c r="N2" s="2">
        <v>1189019</v>
      </c>
      <c r="O2" s="2">
        <v>1191630</v>
      </c>
      <c r="P2" s="2">
        <v>1202489</v>
      </c>
      <c r="Q2" s="2">
        <v>1176147</v>
      </c>
      <c r="R2" s="2">
        <v>1184529</v>
      </c>
      <c r="S2" s="2">
        <v>1202489</v>
      </c>
    </row>
    <row r="3" spans="1:27">
      <c r="A3" t="s">
        <v>3</v>
      </c>
      <c r="B3" s="3" t="e">
        <f>C3*#REF!/#REF!</f>
        <v>#REF!</v>
      </c>
      <c r="C3" s="3" t="e">
        <f>D3*#REF!/#REF!</f>
        <v>#REF!</v>
      </c>
      <c r="D3" s="3" t="e">
        <f>E3*#REF!/#REF!</f>
        <v>#REF!</v>
      </c>
      <c r="E3" s="3" t="e">
        <f>F3*#REF!/#REF!</f>
        <v>#REF!</v>
      </c>
      <c r="F3" s="3" t="e">
        <f>G3*#REF!/#REF!</f>
        <v>#REF!</v>
      </c>
      <c r="G3" s="3" t="e">
        <f>H3*#REF!/#REF!</f>
        <v>#REF!</v>
      </c>
      <c r="H3" s="3" t="e">
        <f>I3*#REF!/#REF!</f>
        <v>#REF!</v>
      </c>
      <c r="I3" s="3" t="e">
        <f>J3*#REF!/#REF!</f>
        <v>#REF!</v>
      </c>
      <c r="J3" s="3" t="e">
        <f>K3*#REF!/#REF!</f>
        <v>#REF!</v>
      </c>
      <c r="K3" s="3" t="e">
        <f>L3*#REF!/#REF!</f>
        <v>#REF!</v>
      </c>
      <c r="L3" s="3" t="e">
        <f>M3*#REF!/#REF!</f>
        <v>#REF!</v>
      </c>
      <c r="M3" s="3" t="e">
        <f>N3*#REF!/#REF!</f>
        <v>#REF!</v>
      </c>
      <c r="N3" s="2">
        <v>438544</v>
      </c>
      <c r="O3" s="2">
        <v>483193</v>
      </c>
      <c r="P3" s="2">
        <v>500251</v>
      </c>
      <c r="Q3" s="2">
        <v>442716</v>
      </c>
      <c r="R3" s="2">
        <v>457831</v>
      </c>
      <c r="S3" s="2">
        <v>513678</v>
      </c>
      <c r="T3" s="3" t="e">
        <f>S3*#REF!/#REF!</f>
        <v>#REF!</v>
      </c>
      <c r="U3" s="3" t="e">
        <f>T3*#REF!/#REF!</f>
        <v>#REF!</v>
      </c>
      <c r="V3" s="3" t="e">
        <f>U3*#REF!/#REF!</f>
        <v>#REF!</v>
      </c>
      <c r="W3" s="3" t="e">
        <f>V3*#REF!/#REF!</f>
        <v>#REF!</v>
      </c>
      <c r="X3" s="3" t="e">
        <f>W3*#REF!/#REF!</f>
        <v>#REF!</v>
      </c>
      <c r="Y3" s="3" t="e">
        <f>X3*#REF!/#REF!</f>
        <v>#REF!</v>
      </c>
      <c r="Z3" s="3" t="e">
        <f>Y3*#REF!/#REF!</f>
        <v>#REF!</v>
      </c>
      <c r="AA3" s="3" t="e">
        <f>Z3*#REF!/#REF!</f>
        <v>#REF!</v>
      </c>
    </row>
    <row r="4" spans="1:27">
      <c r="A4" t="s">
        <v>4</v>
      </c>
      <c r="B4" t="e">
        <f>B3/1000000</f>
        <v>#REF!</v>
      </c>
      <c r="C4" t="e">
        <f t="shared" ref="C4:S4" si="0">C3/1000000</f>
        <v>#REF!</v>
      </c>
      <c r="D4" t="e">
        <f t="shared" si="0"/>
        <v>#REF!</v>
      </c>
      <c r="E4" t="e">
        <f t="shared" si="0"/>
        <v>#REF!</v>
      </c>
      <c r="F4" t="e">
        <f t="shared" si="0"/>
        <v>#REF!</v>
      </c>
      <c r="G4" t="e">
        <f t="shared" si="0"/>
        <v>#REF!</v>
      </c>
      <c r="H4" t="e">
        <f t="shared" si="0"/>
        <v>#REF!</v>
      </c>
      <c r="I4" t="e">
        <f t="shared" si="0"/>
        <v>#REF!</v>
      </c>
      <c r="J4" t="e">
        <f t="shared" si="0"/>
        <v>#REF!</v>
      </c>
      <c r="K4" t="e">
        <f t="shared" si="0"/>
        <v>#REF!</v>
      </c>
      <c r="L4" t="e">
        <f t="shared" si="0"/>
        <v>#REF!</v>
      </c>
      <c r="M4" t="e">
        <f t="shared" si="0"/>
        <v>#REF!</v>
      </c>
      <c r="N4">
        <f t="shared" si="0"/>
        <v>0.43854399999999999</v>
      </c>
      <c r="O4">
        <f t="shared" si="0"/>
        <v>0.48319299999999998</v>
      </c>
      <c r="P4">
        <f t="shared" si="0"/>
        <v>0.500251</v>
      </c>
      <c r="Q4">
        <f t="shared" si="0"/>
        <v>0.442716</v>
      </c>
      <c r="R4">
        <f t="shared" si="0"/>
        <v>0.45783099999999999</v>
      </c>
      <c r="S4">
        <f t="shared" si="0"/>
        <v>0.51367799999999997</v>
      </c>
      <c r="T4" t="e">
        <f t="shared" ref="T4:AA4" si="1">T3/1000000</f>
        <v>#REF!</v>
      </c>
      <c r="U4" t="e">
        <f t="shared" si="1"/>
        <v>#REF!</v>
      </c>
      <c r="V4" t="e">
        <f t="shared" si="1"/>
        <v>#REF!</v>
      </c>
      <c r="W4" t="e">
        <f t="shared" si="1"/>
        <v>#REF!</v>
      </c>
      <c r="X4" t="e">
        <f t="shared" si="1"/>
        <v>#REF!</v>
      </c>
      <c r="Y4" t="e">
        <f t="shared" si="1"/>
        <v>#REF!</v>
      </c>
      <c r="Z4" t="e">
        <f t="shared" si="1"/>
        <v>#REF!</v>
      </c>
      <c r="AA4" t="e">
        <f t="shared" si="1"/>
        <v>#REF!</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
  <sheetViews>
    <sheetView topLeftCell="E1" workbookViewId="0">
      <selection activeCell="Q2" sqref="Q2"/>
    </sheetView>
  </sheetViews>
  <sheetFormatPr defaultRowHeight="14.4"/>
  <sheetData>
    <row r="1" spans="1:27">
      <c r="A1" t="s">
        <v>8</v>
      </c>
      <c r="B1">
        <v>2000</v>
      </c>
      <c r="C1">
        <v>2001</v>
      </c>
      <c r="D1">
        <v>2002</v>
      </c>
      <c r="E1">
        <v>2003</v>
      </c>
      <c r="F1">
        <v>2004</v>
      </c>
      <c r="G1">
        <v>2005</v>
      </c>
      <c r="H1">
        <v>2006</v>
      </c>
      <c r="I1">
        <v>2007</v>
      </c>
      <c r="J1">
        <v>2008</v>
      </c>
      <c r="K1">
        <v>2009</v>
      </c>
      <c r="L1">
        <v>2010</v>
      </c>
      <c r="M1">
        <v>2011</v>
      </c>
      <c r="N1">
        <v>2012</v>
      </c>
      <c r="O1">
        <v>2013</v>
      </c>
      <c r="P1">
        <v>2014</v>
      </c>
      <c r="Q1">
        <v>2015</v>
      </c>
      <c r="R1">
        <v>2016</v>
      </c>
      <c r="S1">
        <v>2017</v>
      </c>
      <c r="T1">
        <v>2018</v>
      </c>
      <c r="U1">
        <v>2019</v>
      </c>
      <c r="V1">
        <v>2020</v>
      </c>
      <c r="W1">
        <v>2021</v>
      </c>
      <c r="X1">
        <v>2022</v>
      </c>
      <c r="Y1">
        <v>2023</v>
      </c>
      <c r="Z1">
        <v>2024</v>
      </c>
      <c r="AA1">
        <v>2025</v>
      </c>
    </row>
    <row r="2" spans="1:27">
      <c r="A2" t="s">
        <v>0</v>
      </c>
      <c r="B2" s="1" t="e">
        <f>#REF!</f>
        <v>#REF!</v>
      </c>
      <c r="C2" s="1" t="e">
        <f>#REF!</f>
        <v>#REF!</v>
      </c>
      <c r="D2" s="1" t="e">
        <f>#REF!</f>
        <v>#REF!</v>
      </c>
      <c r="E2" s="1" t="e">
        <f>#REF!</f>
        <v>#REF!</v>
      </c>
      <c r="F2" s="1" t="e">
        <f>#REF!</f>
        <v>#REF!</v>
      </c>
      <c r="G2" s="1" t="e">
        <f>#REF!</f>
        <v>#REF!</v>
      </c>
      <c r="H2" s="1" t="e">
        <f>#REF!</f>
        <v>#REF!</v>
      </c>
      <c r="I2" s="1" t="e">
        <f>#REF!</f>
        <v>#REF!</v>
      </c>
      <c r="J2" s="1" t="e">
        <f>#REF!</f>
        <v>#REF!</v>
      </c>
      <c r="K2" s="1" t="e">
        <f>#REF!</f>
        <v>#REF!</v>
      </c>
      <c r="L2" s="1" t="e">
        <f>#REF!</f>
        <v>#REF!</v>
      </c>
      <c r="M2" s="1" t="e">
        <f>#REF!</f>
        <v>#REF!</v>
      </c>
      <c r="N2" s="1" t="e">
        <f>#REF!</f>
        <v>#REF!</v>
      </c>
      <c r="O2" s="1" t="e">
        <f>#REF!</f>
        <v>#REF!</v>
      </c>
      <c r="P2" s="1" t="e">
        <f>#REF!</f>
        <v>#REF!</v>
      </c>
      <c r="Q2" s="1" t="e">
        <f>#REF!</f>
        <v>#REF!</v>
      </c>
      <c r="R2" s="1" t="e">
        <f>#REF!</f>
        <v>#REF!</v>
      </c>
      <c r="S2" s="1" t="e">
        <f>#REF!</f>
        <v>#REF!</v>
      </c>
      <c r="T2" s="1">
        <v>102.55766516213519</v>
      </c>
      <c r="U2" s="1">
        <v>105.30277062453504</v>
      </c>
      <c r="V2" s="1">
        <v>105.71906109213781</v>
      </c>
      <c r="W2" s="1">
        <v>106.73110729060663</v>
      </c>
      <c r="X2" s="1">
        <v>108.37788669363671</v>
      </c>
      <c r="Y2" s="1">
        <v>110.25299544838975</v>
      </c>
      <c r="Z2" s="1">
        <v>112.36427098845793</v>
      </c>
      <c r="AA2" s="1">
        <v>114.51597612763094</v>
      </c>
    </row>
    <row r="3" spans="1:27">
      <c r="B3" s="1"/>
      <c r="C3" s="1"/>
      <c r="D3" s="1"/>
      <c r="E3" s="1"/>
      <c r="F3" s="1"/>
      <c r="G3" s="1"/>
      <c r="H3" s="1"/>
      <c r="I3" s="1"/>
      <c r="J3" s="1"/>
      <c r="K3" s="1"/>
      <c r="L3" s="1"/>
      <c r="M3" s="1"/>
      <c r="N3" s="1"/>
      <c r="O3" s="1"/>
      <c r="P3" s="1"/>
      <c r="Q3" s="1"/>
      <c r="R3" s="1"/>
      <c r="S3" s="1"/>
      <c r="T3" s="1"/>
      <c r="U3" s="1"/>
      <c r="V3" s="1"/>
      <c r="W3" s="1"/>
      <c r="X3" s="1"/>
      <c r="Y3" s="1"/>
      <c r="Z3" s="1"/>
      <c r="AA3" s="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
  <sheetViews>
    <sheetView workbookViewId="0">
      <selection activeCell="A3" sqref="A3"/>
    </sheetView>
  </sheetViews>
  <sheetFormatPr defaultRowHeight="14.4"/>
  <sheetData>
    <row r="1" spans="1:27">
      <c r="A1" t="s">
        <v>8</v>
      </c>
      <c r="B1">
        <v>2000</v>
      </c>
      <c r="C1">
        <v>2001</v>
      </c>
      <c r="D1">
        <v>2002</v>
      </c>
      <c r="E1">
        <v>2003</v>
      </c>
      <c r="F1">
        <v>2004</v>
      </c>
      <c r="G1">
        <v>2005</v>
      </c>
      <c r="H1">
        <v>2006</v>
      </c>
      <c r="I1">
        <v>2007</v>
      </c>
      <c r="J1">
        <v>2008</v>
      </c>
      <c r="K1">
        <v>2009</v>
      </c>
      <c r="L1">
        <v>2010</v>
      </c>
      <c r="M1">
        <v>2011</v>
      </c>
      <c r="N1">
        <v>2012</v>
      </c>
      <c r="O1">
        <v>2013</v>
      </c>
      <c r="P1">
        <v>2014</v>
      </c>
      <c r="Q1">
        <v>2015</v>
      </c>
      <c r="R1">
        <v>2016</v>
      </c>
      <c r="S1">
        <v>2017</v>
      </c>
      <c r="T1">
        <v>2018</v>
      </c>
      <c r="U1">
        <v>2019</v>
      </c>
      <c r="V1">
        <v>2020</v>
      </c>
      <c r="W1">
        <v>2021</v>
      </c>
      <c r="X1">
        <v>2022</v>
      </c>
      <c r="Y1">
        <v>2023</v>
      </c>
      <c r="Z1">
        <v>2024</v>
      </c>
      <c r="AA1">
        <v>2025</v>
      </c>
    </row>
    <row r="2" spans="1:27">
      <c r="A2" t="s">
        <v>1</v>
      </c>
      <c r="N2" t="e">
        <f>#REF!</f>
        <v>#REF!</v>
      </c>
      <c r="O2" t="e">
        <f>#REF!</f>
        <v>#REF!</v>
      </c>
      <c r="P2" t="e">
        <f>#REF!</f>
        <v>#REF!</v>
      </c>
      <c r="Q2" t="e">
        <f>#REF!</f>
        <v>#REF!</v>
      </c>
      <c r="R2" t="e">
        <f>#REF!</f>
        <v>#REF!</v>
      </c>
      <c r="S2" t="e">
        <f>#REF!</f>
        <v>#REF!</v>
      </c>
      <c r="T2">
        <v>29.6</v>
      </c>
      <c r="U2">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stata</vt:lpstr>
      <vt:lpstr>Introduction</vt:lpstr>
      <vt:lpstr>Assessment on Prod.F</vt:lpstr>
      <vt:lpstr>Assessment from Literature Rev.</vt:lpstr>
      <vt:lpstr>Skills Mismatch</vt:lpstr>
      <vt:lpstr>Simple regressions</vt:lpstr>
      <vt:lpstr>Production Function</vt:lpstr>
      <vt:lpstr>Assumptions for PF</vt:lpstr>
      <vt:lpstr>Education Data</vt:lpstr>
      <vt:lpstr>Data</vt:lpstr>
      <vt:lpstr>GRAPHS</vt:lpstr>
      <vt:lpstr>laborforce</vt:lpstr>
      <vt:lpstr>CPI</vt:lpstr>
      <vt:lpstr>unemployment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PULSE Electronics</dc:creator>
  <cp:lastModifiedBy>PULSE Electronics</cp:lastModifiedBy>
  <dcterms:created xsi:type="dcterms:W3CDTF">2018-10-02T13:15:52Z</dcterms:created>
  <dcterms:modified xsi:type="dcterms:W3CDTF">2023-06-19T09:23:18Z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